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/>
  <mc:AlternateContent xmlns:mc="http://schemas.openxmlformats.org/markup-compatibility/2006">
    <mc:Choice Requires="x15">
      <x15ac:absPath xmlns:x15ac="http://schemas.microsoft.com/office/spreadsheetml/2010/11/ac" url="G:\Programenheten\AoU 2014\Regiontabeller\2016-11-11\"/>
    </mc:Choice>
  </mc:AlternateContent>
  <bookViews>
    <workbookView xWindow="-15" yWindow="420" windowWidth="1980" windowHeight="11640" tabRatio="723" firstSheet="4" activeTab="5"/>
  </bookViews>
  <sheets>
    <sheet name="Programmet" sheetId="7" r:id="rId1"/>
    <sheet name="ESF Nationellt" sheetId="8" r:id="rId2"/>
    <sheet name="Mellersta Norrland" sheetId="9" r:id="rId3"/>
    <sheet name="Norra Mellansverige" sheetId="10" r:id="rId4"/>
    <sheet name="Småland och Öarna" sheetId="17" r:id="rId5"/>
    <sheet name="Stockholm" sheetId="11" r:id="rId6"/>
    <sheet name="Sydsverige" sheetId="12" r:id="rId7"/>
    <sheet name="Västsverige" sheetId="13" r:id="rId8"/>
    <sheet name="Blad7" sheetId="14" state="hidden" r:id="rId9"/>
    <sheet name="Östra Mellansverige" sheetId="15" r:id="rId10"/>
    <sheet name="Övre Norrland" sheetId="16" r:id="rId11"/>
  </sheets>
  <externalReferences>
    <externalReference r:id="rId12"/>
  </externalReferences>
  <definedNames>
    <definedName name="_xlnm.Print_Area" localSheetId="1">'ESF Nationellt'!$A$1:$L$28</definedName>
    <definedName name="_xlnm.Print_Area" localSheetId="2">'Mellersta Norrland'!$A$1:$L$28</definedName>
    <definedName name="_xlnm.Print_Area" localSheetId="3">'Norra Mellansverige'!$A$1:$L$27</definedName>
    <definedName name="_xlnm.Print_Area" localSheetId="0">Programmet!$A$1:$L$28</definedName>
    <definedName name="_xlnm.Print_Area" localSheetId="4">'Småland och Öarna'!$A$1:$L$27</definedName>
    <definedName name="_xlnm.Print_Area" localSheetId="5">Stockholm!$A$1:$L$26</definedName>
    <definedName name="_xlnm.Print_Area" localSheetId="6">Sydsverige!$A$1:$L$28</definedName>
    <definedName name="_xlnm.Print_Area" localSheetId="7">Västsverige!$A$1:$L$27</definedName>
    <definedName name="_xlnm.Print_Area" localSheetId="9">'Östra Mellansverige'!$A$1:$L$26</definedName>
    <definedName name="_xlnm.Print_Area" localSheetId="10">'Övre Norrland'!$A$1:$L$27</definedName>
  </definedNames>
  <calcPr calcId="171027"/>
</workbook>
</file>

<file path=xl/calcChain.xml><?xml version="1.0" encoding="utf-8"?>
<calcChain xmlns="http://schemas.openxmlformats.org/spreadsheetml/2006/main">
  <c r="G4" i="16" l="1"/>
  <c r="I4" i="16"/>
  <c r="H4" i="16"/>
  <c r="I4" i="15"/>
  <c r="H4" i="15"/>
  <c r="I4" i="13"/>
  <c r="H4" i="13"/>
  <c r="G4" i="13"/>
  <c r="I4" i="12"/>
  <c r="H4" i="12"/>
  <c r="G4" i="12"/>
  <c r="I4" i="11"/>
  <c r="H4" i="11"/>
  <c r="G4" i="11"/>
  <c r="G4" i="17"/>
  <c r="I4" i="17"/>
  <c r="H4" i="17"/>
  <c r="I4" i="10"/>
  <c r="H4" i="10"/>
  <c r="G4" i="10"/>
  <c r="I4" i="9"/>
  <c r="H4" i="9"/>
  <c r="G4" i="9"/>
  <c r="I4" i="8"/>
  <c r="H4" i="8"/>
  <c r="G4" i="8"/>
  <c r="I4" i="7"/>
  <c r="H4" i="7"/>
  <c r="G4" i="7"/>
  <c r="J20" i="16"/>
  <c r="J25" i="16"/>
  <c r="J24" i="15"/>
  <c r="J19" i="15"/>
  <c r="J25" i="13"/>
  <c r="J20" i="13"/>
  <c r="J26" i="12"/>
  <c r="J25" i="12"/>
  <c r="J20" i="12"/>
  <c r="J24" i="11"/>
  <c r="J19" i="11"/>
  <c r="J25" i="17"/>
  <c r="J20" i="17"/>
  <c r="J25" i="10"/>
  <c r="J24" i="10"/>
  <c r="J19" i="10"/>
  <c r="J26" i="9"/>
  <c r="J25" i="9"/>
  <c r="J20" i="9"/>
  <c r="J26" i="8"/>
  <c r="J25" i="8"/>
  <c r="J20" i="8"/>
  <c r="J26" i="7"/>
  <c r="J25" i="7"/>
  <c r="J20" i="7"/>
  <c r="H17" i="7"/>
  <c r="D17" i="7"/>
  <c r="D24" i="7" l="1"/>
  <c r="D23" i="7"/>
  <c r="D24" i="8"/>
  <c r="D23" i="16"/>
  <c r="D23" i="12"/>
  <c r="D23" i="13"/>
  <c r="D23" i="17"/>
  <c r="D22" i="15"/>
  <c r="D22" i="11"/>
  <c r="D22" i="10"/>
  <c r="D23" i="9"/>
  <c r="D23" i="8"/>
  <c r="J17" i="7"/>
  <c r="J16" i="10"/>
  <c r="D23" i="11"/>
  <c r="D26" i="8" l="1"/>
  <c r="L25" i="8"/>
  <c r="K25" i="8"/>
  <c r="G25" i="8"/>
  <c r="E25" i="8"/>
  <c r="C25" i="8"/>
  <c r="L24" i="8"/>
  <c r="I24" i="8"/>
  <c r="G23" i="8"/>
  <c r="E23" i="8"/>
  <c r="L20" i="8"/>
  <c r="L21" i="8"/>
  <c r="K21" i="8"/>
  <c r="K20" i="8"/>
  <c r="D20" i="8"/>
  <c r="C20" i="8"/>
  <c r="L18" i="8"/>
  <c r="K18" i="8"/>
  <c r="L17" i="8"/>
  <c r="J17" i="8"/>
  <c r="I17" i="8"/>
  <c r="H17" i="8"/>
  <c r="F17" i="8"/>
  <c r="D17" i="8"/>
  <c r="L26" i="7"/>
  <c r="I26" i="7"/>
  <c r="H26" i="7"/>
  <c r="D26" i="7"/>
  <c r="C26" i="7"/>
  <c r="L25" i="7"/>
  <c r="I25" i="7"/>
  <c r="H25" i="7"/>
  <c r="G25" i="7"/>
  <c r="F25" i="7"/>
  <c r="E25" i="7"/>
  <c r="D25" i="7"/>
  <c r="C25" i="7"/>
  <c r="L24" i="7"/>
  <c r="I24" i="7"/>
  <c r="L23" i="7"/>
  <c r="I23" i="7"/>
  <c r="G23" i="7"/>
  <c r="E23" i="7"/>
  <c r="C23" i="7"/>
  <c r="L22" i="7"/>
  <c r="I22" i="7"/>
  <c r="L21" i="7"/>
  <c r="I21" i="7"/>
  <c r="L20" i="7"/>
  <c r="I20" i="7"/>
  <c r="H20" i="7"/>
  <c r="G20" i="7"/>
  <c r="F20" i="7"/>
  <c r="E20" i="7"/>
  <c r="D20" i="7"/>
  <c r="C20" i="7"/>
  <c r="L19" i="7"/>
  <c r="I19" i="7"/>
  <c r="L18" i="7"/>
  <c r="I18" i="7"/>
  <c r="L17" i="7"/>
  <c r="I17" i="7"/>
  <c r="F17" i="7"/>
  <c r="L25" i="16"/>
  <c r="I25" i="16"/>
  <c r="H25" i="16"/>
  <c r="G25" i="16"/>
  <c r="F25" i="16"/>
  <c r="D25" i="16"/>
  <c r="C25" i="16"/>
  <c r="L24" i="16"/>
  <c r="I24" i="16"/>
  <c r="L23" i="16"/>
  <c r="I23" i="16"/>
  <c r="G23" i="16"/>
  <c r="C23" i="16"/>
  <c r="L21" i="16"/>
  <c r="I21" i="16"/>
  <c r="L20" i="16"/>
  <c r="I20" i="16"/>
  <c r="H20" i="16"/>
  <c r="G20" i="16"/>
  <c r="F20" i="16"/>
  <c r="E20" i="16"/>
  <c r="D20" i="16"/>
  <c r="C20" i="16"/>
  <c r="L19" i="16"/>
  <c r="I19" i="16"/>
  <c r="L18" i="16"/>
  <c r="K18" i="16"/>
  <c r="I18" i="16"/>
  <c r="L17" i="16"/>
  <c r="J17" i="16"/>
  <c r="I17" i="16"/>
  <c r="H17" i="16"/>
  <c r="F17" i="16"/>
  <c r="D17" i="16"/>
  <c r="L24" i="15"/>
  <c r="I24" i="15"/>
  <c r="H24" i="15"/>
  <c r="G24" i="15"/>
  <c r="F24" i="15"/>
  <c r="E24" i="15"/>
  <c r="D24" i="15"/>
  <c r="C24" i="15"/>
  <c r="L23" i="15"/>
  <c r="I23" i="15"/>
  <c r="L22" i="15"/>
  <c r="K22" i="15"/>
  <c r="I22" i="15"/>
  <c r="G22" i="15"/>
  <c r="E22" i="15"/>
  <c r="C22" i="15"/>
  <c r="L21" i="15"/>
  <c r="I21" i="15"/>
  <c r="L20" i="15"/>
  <c r="I20" i="15"/>
  <c r="L19" i="15"/>
  <c r="K19" i="15"/>
  <c r="I19" i="15"/>
  <c r="H19" i="15"/>
  <c r="G19" i="15"/>
  <c r="F19" i="15"/>
  <c r="E19" i="15"/>
  <c r="D19" i="15"/>
  <c r="C19" i="15"/>
  <c r="I18" i="15"/>
  <c r="E18" i="15"/>
  <c r="C18" i="15"/>
  <c r="L17" i="15"/>
  <c r="I17" i="15"/>
  <c r="L16" i="15"/>
  <c r="J16" i="15"/>
  <c r="I16" i="15"/>
  <c r="H16" i="15"/>
  <c r="F16" i="15"/>
  <c r="D16" i="15"/>
  <c r="L25" i="13"/>
  <c r="I25" i="13"/>
  <c r="H25" i="13"/>
  <c r="G25" i="13"/>
  <c r="F25" i="13"/>
  <c r="E25" i="13"/>
  <c r="D25" i="13"/>
  <c r="C25" i="13"/>
  <c r="L24" i="13"/>
  <c r="I24" i="13"/>
  <c r="L23" i="13"/>
  <c r="K23" i="13"/>
  <c r="I23" i="13"/>
  <c r="G23" i="13"/>
  <c r="E23" i="13"/>
  <c r="C23" i="13"/>
  <c r="L22" i="13"/>
  <c r="K22" i="13"/>
  <c r="I22" i="13"/>
  <c r="L21" i="13"/>
  <c r="I21" i="13"/>
  <c r="L20" i="13" l="1"/>
  <c r="I20" i="13"/>
  <c r="H20" i="13"/>
  <c r="G20" i="13"/>
  <c r="F20" i="13"/>
  <c r="E20" i="13"/>
  <c r="D20" i="13"/>
  <c r="C20" i="13"/>
  <c r="L19" i="13"/>
  <c r="I19" i="13"/>
  <c r="L18" i="13"/>
  <c r="I18" i="13"/>
  <c r="L17" i="13"/>
  <c r="J17" i="13"/>
  <c r="I17" i="13"/>
  <c r="H17" i="13"/>
  <c r="F17" i="13"/>
  <c r="D17" i="13"/>
  <c r="L26" i="12"/>
  <c r="K26" i="8"/>
  <c r="I26" i="12"/>
  <c r="H26" i="12"/>
  <c r="D26" i="12"/>
  <c r="L25" i="12"/>
  <c r="I25" i="12"/>
  <c r="H25" i="12"/>
  <c r="F25" i="12"/>
  <c r="G25" i="12"/>
  <c r="E25" i="12"/>
  <c r="D25" i="12"/>
  <c r="C25" i="12"/>
  <c r="L24" i="12"/>
  <c r="I24" i="12"/>
  <c r="L23" i="12"/>
  <c r="I23" i="12"/>
  <c r="G23" i="12"/>
  <c r="E23" i="12"/>
  <c r="C23" i="12"/>
  <c r="L22" i="12"/>
  <c r="I22" i="12"/>
  <c r="L21" i="12"/>
  <c r="I21" i="12"/>
  <c r="L20" i="12"/>
  <c r="I20" i="12"/>
  <c r="H20" i="12"/>
  <c r="G20" i="12"/>
  <c r="F20" i="12"/>
  <c r="E20" i="12"/>
  <c r="D20" i="12"/>
  <c r="C20" i="12"/>
  <c r="L19" i="12"/>
  <c r="K19" i="12"/>
  <c r="I19" i="12"/>
  <c r="L18" i="12"/>
  <c r="I18" i="12"/>
  <c r="L17" i="12"/>
  <c r="J17" i="12"/>
  <c r="I17" i="12"/>
  <c r="H17" i="12"/>
  <c r="F17" i="12"/>
  <c r="D17" i="12"/>
  <c r="L24" i="11"/>
  <c r="K24" i="11"/>
  <c r="I24" i="11"/>
  <c r="H24" i="11"/>
  <c r="G24" i="11"/>
  <c r="F24" i="11"/>
  <c r="E24" i="11"/>
  <c r="D24" i="11"/>
  <c r="C24" i="11"/>
  <c r="L22" i="11"/>
  <c r="K22" i="11"/>
  <c r="L21" i="11"/>
  <c r="L20" i="11"/>
  <c r="I22" i="11"/>
  <c r="H22" i="11"/>
  <c r="G22" i="11"/>
  <c r="F22" i="11"/>
  <c r="E22" i="11"/>
  <c r="C22" i="11"/>
  <c r="B22" i="11"/>
  <c r="I21" i="11"/>
  <c r="I20" i="11"/>
  <c r="L19" i="11" l="1"/>
  <c r="I19" i="11"/>
  <c r="H19" i="11"/>
  <c r="F19" i="11"/>
  <c r="D19" i="11"/>
  <c r="C19" i="11"/>
  <c r="B19" i="11"/>
  <c r="L18" i="11"/>
  <c r="I18" i="11"/>
  <c r="E18" i="11"/>
  <c r="C18" i="11"/>
  <c r="L17" i="11" l="1"/>
  <c r="I17" i="11"/>
  <c r="L16" i="11"/>
  <c r="J16" i="11"/>
  <c r="I16" i="11"/>
  <c r="H16" i="11"/>
  <c r="F16" i="11"/>
  <c r="D16" i="11"/>
  <c r="L25" i="17"/>
  <c r="J17" i="17"/>
  <c r="I25" i="17"/>
  <c r="H25" i="17"/>
  <c r="F25" i="17"/>
  <c r="D25" i="17"/>
  <c r="C25" i="17"/>
  <c r="L24" i="17"/>
  <c r="I24" i="17"/>
  <c r="L23" i="17"/>
  <c r="I23" i="17"/>
  <c r="G23" i="17"/>
  <c r="C23" i="17"/>
  <c r="L21" i="17"/>
  <c r="I21" i="17"/>
  <c r="L20" i="17"/>
  <c r="I20" i="17"/>
  <c r="H20" i="17"/>
  <c r="G20" i="17"/>
  <c r="F20" i="17"/>
  <c r="E20" i="17"/>
  <c r="D20" i="17"/>
  <c r="C20" i="17"/>
  <c r="B20" i="17"/>
  <c r="L19" i="17"/>
  <c r="K19" i="17"/>
  <c r="I19" i="17"/>
  <c r="L18" i="17"/>
  <c r="I18" i="17"/>
  <c r="L17" i="17"/>
  <c r="I17" i="17"/>
  <c r="H17" i="17"/>
  <c r="F17" i="17"/>
  <c r="D17" i="17"/>
  <c r="L25" i="10" l="1"/>
  <c r="I25" i="10"/>
  <c r="H25" i="10"/>
  <c r="L24" i="10"/>
  <c r="I24" i="10"/>
  <c r="H24" i="10"/>
  <c r="C24" i="10"/>
  <c r="B24" i="10"/>
  <c r="L23" i="10"/>
  <c r="K23" i="10"/>
  <c r="I23" i="10"/>
  <c r="L22" i="10"/>
  <c r="I22" i="10"/>
  <c r="C22" i="10"/>
  <c r="B22" i="10"/>
  <c r="L20" i="10"/>
  <c r="I20" i="10"/>
  <c r="L19" i="10"/>
  <c r="I19" i="10"/>
  <c r="H19" i="10"/>
  <c r="F19" i="10"/>
  <c r="E19" i="10"/>
  <c r="D19" i="10"/>
  <c r="C19" i="10"/>
  <c r="B19" i="10"/>
  <c r="L17" i="10"/>
  <c r="I17" i="10"/>
  <c r="L16" i="10"/>
  <c r="I16" i="10"/>
  <c r="H16" i="10"/>
  <c r="F16" i="10"/>
  <c r="D16" i="10"/>
  <c r="C16" i="10"/>
  <c r="L26" i="9" l="1"/>
  <c r="K26" i="9"/>
  <c r="I26" i="9"/>
  <c r="H26" i="9"/>
  <c r="L25" i="9"/>
  <c r="K25" i="9"/>
  <c r="I25" i="9"/>
  <c r="H25" i="9"/>
  <c r="D25" i="9"/>
  <c r="B25" i="9"/>
  <c r="L24" i="9"/>
  <c r="K24" i="9"/>
  <c r="I24" i="9"/>
  <c r="L23" i="9"/>
  <c r="K23" i="9"/>
  <c r="I23" i="9"/>
  <c r="G23" i="9"/>
  <c r="C23" i="9"/>
  <c r="B23" i="9"/>
  <c r="L21" i="9"/>
  <c r="K21" i="9"/>
  <c r="I21" i="9"/>
  <c r="L17" i="9"/>
  <c r="J17" i="9"/>
  <c r="I17" i="9"/>
  <c r="H17" i="9"/>
  <c r="F17" i="9"/>
  <c r="D17" i="9"/>
  <c r="L20" i="9" l="1"/>
  <c r="K20" i="9"/>
  <c r="H20" i="9"/>
  <c r="F20" i="9"/>
  <c r="C20" i="9"/>
  <c r="I20" i="9" s="1"/>
  <c r="K19" i="9"/>
  <c r="I19" i="9"/>
  <c r="L19" i="9" s="1"/>
  <c r="L18" i="9"/>
  <c r="K18" i="9"/>
  <c r="I18" i="9"/>
  <c r="I26" i="8"/>
  <c r="L26" i="8" s="1"/>
  <c r="H26" i="8"/>
  <c r="D20" i="9" l="1"/>
  <c r="I25" i="8" l="1"/>
  <c r="H25" i="8"/>
  <c r="F25" i="8"/>
  <c r="D25" i="8"/>
  <c r="L23" i="8"/>
  <c r="K23" i="8"/>
  <c r="I23" i="8"/>
  <c r="C23" i="8"/>
  <c r="L22" i="8"/>
  <c r="K22" i="8"/>
  <c r="I22" i="8"/>
  <c r="G20" i="8"/>
  <c r="H20" i="8" s="1"/>
  <c r="E20" i="8"/>
  <c r="F20" i="8" s="1"/>
  <c r="L19" i="8"/>
  <c r="I18" i="8"/>
  <c r="I21" i="8"/>
  <c r="I19" i="8"/>
  <c r="I20" i="8" l="1"/>
  <c r="F5" i="7"/>
  <c r="F5" i="16"/>
  <c r="F5" i="15"/>
  <c r="F5" i="13"/>
  <c r="F5" i="12"/>
  <c r="F5" i="11"/>
  <c r="F5" i="17"/>
  <c r="F5" i="10"/>
  <c r="F5" i="9"/>
  <c r="F5" i="8"/>
  <c r="J9" i="16" l="1"/>
  <c r="I9" i="16"/>
  <c r="H9" i="16"/>
  <c r="G9" i="16"/>
  <c r="J8" i="16"/>
  <c r="I8" i="16"/>
  <c r="J6" i="16"/>
  <c r="I6" i="16"/>
  <c r="J4" i="16"/>
  <c r="J9" i="15"/>
  <c r="I9" i="15"/>
  <c r="H9" i="15"/>
  <c r="G9" i="15"/>
  <c r="J8" i="15"/>
  <c r="I8" i="15"/>
  <c r="J7" i="15"/>
  <c r="I7" i="15"/>
  <c r="J6" i="15"/>
  <c r="I6" i="15"/>
  <c r="J4" i="15"/>
  <c r="J9" i="13"/>
  <c r="I9" i="13"/>
  <c r="H9" i="13"/>
  <c r="G9" i="13"/>
  <c r="J8" i="13"/>
  <c r="I8" i="13"/>
  <c r="J7" i="13"/>
  <c r="I7" i="13"/>
  <c r="J6" i="13"/>
  <c r="I6" i="13"/>
  <c r="J4" i="13"/>
  <c r="J10" i="12"/>
  <c r="I10" i="12"/>
  <c r="J9" i="12"/>
  <c r="I9" i="12"/>
  <c r="H9" i="12"/>
  <c r="G9" i="12"/>
  <c r="J8" i="12"/>
  <c r="I8" i="12"/>
  <c r="J7" i="12"/>
  <c r="I7" i="12"/>
  <c r="J6" i="12"/>
  <c r="I6" i="12"/>
  <c r="J4" i="12"/>
  <c r="J9" i="11"/>
  <c r="I9" i="11"/>
  <c r="H9" i="11"/>
  <c r="G9" i="11"/>
  <c r="J7" i="11"/>
  <c r="I7" i="11"/>
  <c r="J6" i="11"/>
  <c r="I6" i="11"/>
  <c r="J4" i="11"/>
  <c r="J9" i="17"/>
  <c r="I9" i="17"/>
  <c r="H9" i="17"/>
  <c r="G9" i="17"/>
  <c r="J8" i="17"/>
  <c r="I8" i="17"/>
  <c r="J6" i="17"/>
  <c r="I6" i="17"/>
  <c r="J4" i="17"/>
  <c r="J10" i="10"/>
  <c r="I10" i="10"/>
  <c r="J9" i="10"/>
  <c r="I9" i="10"/>
  <c r="H9" i="10"/>
  <c r="G9" i="10"/>
  <c r="J8" i="10"/>
  <c r="I8" i="10"/>
  <c r="J6" i="10"/>
  <c r="I6" i="10"/>
  <c r="J4" i="10"/>
  <c r="J10" i="9"/>
  <c r="I10" i="9"/>
  <c r="J9" i="9"/>
  <c r="I9" i="9"/>
  <c r="H9" i="9"/>
  <c r="G9" i="9"/>
  <c r="J8" i="9"/>
  <c r="I8" i="9"/>
  <c r="J6" i="9"/>
  <c r="I6" i="9"/>
  <c r="J4" i="9"/>
  <c r="J10" i="8"/>
  <c r="I10" i="8"/>
  <c r="J9" i="8"/>
  <c r="I9" i="8"/>
  <c r="H9" i="8"/>
  <c r="G9" i="8"/>
  <c r="J8" i="8"/>
  <c r="I8" i="8"/>
  <c r="J7" i="8"/>
  <c r="I7" i="8"/>
  <c r="J6" i="8"/>
  <c r="I6" i="8"/>
  <c r="J4" i="8"/>
  <c r="J10" i="7" l="1"/>
  <c r="I10" i="7"/>
  <c r="J9" i="7"/>
  <c r="I9" i="7"/>
  <c r="H9" i="7"/>
  <c r="G9" i="7"/>
  <c r="J8" i="7"/>
  <c r="I8" i="7"/>
  <c r="J7" i="7"/>
  <c r="I7" i="7"/>
  <c r="J6" i="7"/>
  <c r="I6" i="7"/>
  <c r="F10" i="7"/>
  <c r="F9" i="7"/>
  <c r="F8" i="7"/>
  <c r="F7" i="7"/>
  <c r="F6" i="7"/>
  <c r="E10" i="7"/>
  <c r="E9" i="7"/>
  <c r="E8" i="7"/>
  <c r="E7" i="7"/>
  <c r="E6" i="7"/>
  <c r="D10" i="7"/>
  <c r="C10" i="7"/>
  <c r="D9" i="7"/>
  <c r="D8" i="7"/>
  <c r="D7" i="7"/>
  <c r="D6" i="7"/>
  <c r="C9" i="7"/>
  <c r="C8" i="7"/>
  <c r="C7" i="7"/>
  <c r="C6" i="7"/>
  <c r="F4" i="7"/>
  <c r="E4" i="7"/>
  <c r="D4" i="7"/>
  <c r="C4" i="7"/>
  <c r="F2" i="7"/>
  <c r="E2" i="7"/>
  <c r="J4" i="7" l="1"/>
  <c r="D8" i="16"/>
  <c r="D6" i="16" l="1"/>
  <c r="C8" i="16"/>
  <c r="C6" i="16"/>
  <c r="D6" i="15"/>
  <c r="C8" i="15"/>
  <c r="C6" i="15"/>
  <c r="D8" i="13"/>
  <c r="D6" i="13"/>
  <c r="C8" i="13"/>
  <c r="C6" i="13"/>
  <c r="D8" i="12"/>
  <c r="C8" i="12"/>
  <c r="D6" i="12"/>
  <c r="C6" i="12"/>
  <c r="D6" i="11"/>
  <c r="C6" i="11"/>
  <c r="F9" i="17"/>
  <c r="D6" i="17"/>
  <c r="D8" i="17"/>
  <c r="C8" i="17"/>
  <c r="C6" i="17"/>
  <c r="D8" i="10"/>
  <c r="C8" i="10"/>
  <c r="E6" i="10"/>
  <c r="D6" i="10"/>
  <c r="C6" i="10"/>
  <c r="D6" i="9"/>
  <c r="C6" i="9"/>
  <c r="D7" i="15"/>
  <c r="C7" i="15"/>
  <c r="D7" i="12"/>
  <c r="C7" i="12"/>
  <c r="F7" i="11"/>
  <c r="E7" i="11"/>
  <c r="D7" i="11"/>
  <c r="C7" i="11"/>
  <c r="C7" i="8"/>
  <c r="F10" i="8"/>
  <c r="E10" i="8"/>
  <c r="D7" i="8"/>
  <c r="F10" i="12"/>
  <c r="E10" i="12"/>
  <c r="F10" i="10"/>
  <c r="E10" i="10"/>
  <c r="F10" i="9"/>
  <c r="E10" i="9"/>
  <c r="F2" i="8" l="1"/>
  <c r="D9" i="8"/>
  <c r="C9" i="8"/>
  <c r="E4" i="8"/>
  <c r="E2" i="8"/>
  <c r="D4" i="8"/>
  <c r="C4" i="8"/>
  <c r="F4" i="9"/>
  <c r="F2" i="9"/>
  <c r="D9" i="9"/>
  <c r="C9" i="9"/>
  <c r="E4" i="9"/>
  <c r="E2" i="9"/>
  <c r="D4" i="9"/>
  <c r="C4" i="9"/>
  <c r="F6" i="10"/>
  <c r="F4" i="10"/>
  <c r="F2" i="10"/>
  <c r="E4" i="10"/>
  <c r="D4" i="10"/>
  <c r="C4" i="10"/>
  <c r="E2" i="10"/>
  <c r="F4" i="17"/>
  <c r="F2" i="17"/>
  <c r="E4" i="17"/>
  <c r="E2" i="17"/>
  <c r="D4" i="17"/>
  <c r="C4" i="17"/>
  <c r="F4" i="11"/>
  <c r="F2" i="11"/>
  <c r="E4" i="11"/>
  <c r="D4" i="11"/>
  <c r="C4" i="11"/>
  <c r="E2" i="11"/>
  <c r="F4" i="12"/>
  <c r="F2" i="12"/>
  <c r="E4" i="12"/>
  <c r="E2" i="12"/>
  <c r="D4" i="12"/>
  <c r="C4" i="12"/>
  <c r="F2" i="15"/>
  <c r="F8" i="16"/>
  <c r="F4" i="16"/>
  <c r="F2" i="16"/>
  <c r="D9" i="16"/>
  <c r="C9" i="16"/>
  <c r="F4" i="15"/>
  <c r="F8" i="15"/>
  <c r="D9" i="15"/>
  <c r="C9" i="15"/>
  <c r="E8" i="15"/>
  <c r="F7" i="13"/>
  <c r="D9" i="13"/>
  <c r="C9" i="13"/>
  <c r="E8" i="13"/>
  <c r="F8" i="13" s="1"/>
  <c r="F4" i="13"/>
  <c r="F2" i="13"/>
  <c r="E4" i="13"/>
  <c r="D4" i="13"/>
  <c r="C4" i="13"/>
  <c r="E2" i="13"/>
  <c r="D9" i="12"/>
  <c r="C9" i="12"/>
  <c r="E8" i="12"/>
  <c r="F8" i="12" s="1"/>
  <c r="D9" i="11"/>
  <c r="C9" i="11"/>
  <c r="D9" i="17"/>
  <c r="C9" i="17"/>
  <c r="E8" i="17"/>
  <c r="F8" i="17" s="1"/>
  <c r="D9" i="10"/>
  <c r="C9" i="10"/>
  <c r="E8" i="10"/>
  <c r="E9" i="10" s="1"/>
  <c r="F9" i="10" s="1"/>
  <c r="F8" i="10" l="1"/>
  <c r="E6" i="16"/>
  <c r="E6" i="15"/>
  <c r="F6" i="15" s="1"/>
  <c r="E6" i="13"/>
  <c r="E6" i="12"/>
  <c r="F6" i="12" s="1"/>
  <c r="E6" i="11"/>
  <c r="E6" i="17"/>
  <c r="E6" i="9"/>
  <c r="E7" i="15"/>
  <c r="E7" i="13"/>
  <c r="E7" i="12"/>
  <c r="E7" i="8"/>
  <c r="F7" i="8" s="1"/>
  <c r="E4" i="16"/>
  <c r="E2" i="16"/>
  <c r="D4" i="16"/>
  <c r="C4" i="16"/>
  <c r="E9" i="16" l="1"/>
  <c r="F9" i="16" s="1"/>
  <c r="F6" i="16"/>
  <c r="F6" i="13"/>
  <c r="E9" i="13"/>
  <c r="F9" i="13" s="1"/>
  <c r="E9" i="11"/>
  <c r="F9" i="11" s="1"/>
  <c r="F6" i="11"/>
  <c r="F6" i="17"/>
  <c r="E9" i="17"/>
  <c r="F6" i="9"/>
  <c r="E9" i="9"/>
  <c r="F9" i="9" s="1"/>
  <c r="F7" i="15"/>
  <c r="E9" i="15"/>
  <c r="F9" i="15" s="1"/>
  <c r="E9" i="12"/>
  <c r="F9" i="12" s="1"/>
  <c r="F7" i="12"/>
  <c r="E9" i="8"/>
  <c r="F9" i="8" s="1"/>
  <c r="B28" i="8"/>
  <c r="B27" i="16" l="1"/>
  <c r="B26" i="15"/>
  <c r="B27" i="13"/>
  <c r="B28" i="12"/>
  <c r="B26" i="11"/>
  <c r="B27" i="17"/>
  <c r="B28" i="7"/>
</calcChain>
</file>

<file path=xl/sharedStrings.xml><?xml version="1.0" encoding="utf-8"?>
<sst xmlns="http://schemas.openxmlformats.org/spreadsheetml/2006/main" count="597" uniqueCount="52">
  <si>
    <t>Indikator</t>
  </si>
  <si>
    <t>Mål</t>
  </si>
  <si>
    <t>Redovisat antal kvinnor</t>
  </si>
  <si>
    <t>Redovisat antal män</t>
  </si>
  <si>
    <t>Totalt redovisade deltagare*</t>
  </si>
  <si>
    <t>Andel av etappmål/slutmål**</t>
  </si>
  <si>
    <t>Planerat antal kvinnor i beviljade projekt</t>
  </si>
  <si>
    <t>Planerat antal män i beviljade projekt</t>
  </si>
  <si>
    <t>Totalt planerat i beviljade projekt</t>
  </si>
  <si>
    <t>Andel av etappmål/slutmål*</t>
  </si>
  <si>
    <t>Etappmål  2018</t>
  </si>
  <si>
    <t>Slutmål 2023</t>
  </si>
  <si>
    <t>Anställda deltagare inklusive egenföretagare</t>
  </si>
  <si>
    <t>1.1</t>
  </si>
  <si>
    <t>Arbetslösa deltagare</t>
  </si>
  <si>
    <t>Totalt antal i deltagare PO 1</t>
  </si>
  <si>
    <t>Totalt</t>
  </si>
  <si>
    <t>Antal projekt</t>
  </si>
  <si>
    <t>1.2</t>
  </si>
  <si>
    <t>2.1</t>
  </si>
  <si>
    <t>2.2</t>
  </si>
  <si>
    <t>2.3</t>
  </si>
  <si>
    <t>Totalt antal deltagare i PO 2</t>
  </si>
  <si>
    <t>3.1</t>
  </si>
  <si>
    <t>**Andelen är satt i förhållande till etappmålet. Om det inte finns ett etappmål är andelen satt i förhållande till slutmålet.</t>
  </si>
  <si>
    <t>*För mål 1.2 redovisas projekt, ej deltagare</t>
  </si>
  <si>
    <t>EU-medel</t>
  </si>
  <si>
    <t>Andel av ram %</t>
  </si>
  <si>
    <t>Totalt intecknade medel</t>
  </si>
  <si>
    <t>Andel av total ram %</t>
  </si>
  <si>
    <t>Medfinan-siering via anslag</t>
  </si>
  <si>
    <t>Medfinan-siering från projektet</t>
  </si>
  <si>
    <t>Övre Norrland</t>
  </si>
  <si>
    <t>PO 1</t>
  </si>
  <si>
    <t>2.1 &amp; 2.2</t>
  </si>
  <si>
    <t>PO 2</t>
  </si>
  <si>
    <t>Östra Mellansverige</t>
  </si>
  <si>
    <t>Västsverige</t>
  </si>
  <si>
    <t>Stockholm</t>
  </si>
  <si>
    <t>Småland och Öarna</t>
  </si>
  <si>
    <t>Sydsverige</t>
  </si>
  <si>
    <t>Norra Mellansverige</t>
  </si>
  <si>
    <t>Mellersta Norrland</t>
  </si>
  <si>
    <t>ESF Nationell nivå</t>
  </si>
  <si>
    <t>Utbetalat ESF-stöd*</t>
  </si>
  <si>
    <t>* I ESF-stöd ingår stödet från Socialfonden, Ungdomsinitiativet  och medfinansiering via anslag</t>
  </si>
  <si>
    <t>Andel utbetalat av intecknat ESF-stöd*</t>
  </si>
  <si>
    <t>Andel av PO 2:s intecknade medfinansiering via anslag som går  till mål 2.3</t>
  </si>
  <si>
    <t>Arbetslösa deltagare***</t>
  </si>
  <si>
    <t>***Enligt överrenskommelse med Arbetsmarknadsdepartementet redovisas alla deltagare som hör till målgruppen för PO2, även inaktiva, under indikatorn "arbetslösa deltagare"</t>
  </si>
  <si>
    <t>Indikatorer t.o.m. 2016-09-15</t>
  </si>
  <si>
    <t>Finansiella uppgifter t.o.m. 2016-11-04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</si>
</sst>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name val="Verdan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0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3" fontId="8" fillId="0" borderId="1" xfId="1" applyNumberFormat="1" applyFont="1" applyFill="1" applyBorder="1" applyAlignment="1">
      <alignment wrapText="1"/>
    </xf>
    <xf numFmtId="9" fontId="8" fillId="0" borderId="1" xfId="1" applyFont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3" fontId="0" fillId="2" borderId="1" xfId="0" applyNumberFormat="1" applyFill="1" applyBorder="1" applyAlignment="1">
      <alignment wrapText="1"/>
    </xf>
    <xf numFmtId="3" fontId="8" fillId="0" borderId="1" xfId="1" applyNumberFormat="1" applyFont="1" applyBorder="1" applyAlignment="1">
      <alignment wrapText="1"/>
    </xf>
    <xf numFmtId="3" fontId="8" fillId="2" borderId="1" xfId="1" applyNumberFormat="1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9" fontId="8" fillId="2" borderId="1" xfId="1" applyFont="1" applyFill="1" applyBorder="1" applyAlignment="1">
      <alignment horizontal="right" wrapText="1"/>
    </xf>
    <xf numFmtId="0" fontId="0" fillId="0" borderId="2" xfId="0" applyBorder="1" applyAlignment="1">
      <alignment wrapText="1"/>
    </xf>
    <xf numFmtId="0" fontId="9" fillId="0" borderId="0" xfId="0" applyFont="1" applyAlignment="1"/>
    <xf numFmtId="0" fontId="10" fillId="0" borderId="1" xfId="0" applyFont="1" applyFill="1" applyBorder="1"/>
    <xf numFmtId="3" fontId="10" fillId="0" borderId="1" xfId="0" applyNumberFormat="1" applyFont="1" applyFill="1" applyBorder="1"/>
    <xf numFmtId="9" fontId="10" fillId="2" borderId="1" xfId="1" applyFont="1" applyFill="1" applyBorder="1"/>
    <xf numFmtId="9" fontId="10" fillId="0" borderId="1" xfId="1" applyFont="1" applyFill="1" applyBorder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9" fontId="0" fillId="0" borderId="0" xfId="1" applyFont="1"/>
    <xf numFmtId="0" fontId="9" fillId="3" borderId="3" xfId="0" applyFont="1" applyFill="1" applyBorder="1" applyAlignment="1">
      <alignment horizontal="left" wrapText="1"/>
    </xf>
    <xf numFmtId="9" fontId="9" fillId="3" borderId="4" xfId="1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  <xf numFmtId="3" fontId="5" fillId="0" borderId="1" xfId="1" applyNumberFormat="1" applyFont="1" applyFill="1" applyBorder="1" applyAlignment="1">
      <alignment wrapText="1"/>
    </xf>
    <xf numFmtId="0" fontId="0" fillId="0" borderId="0" xfId="0" applyNumberFormat="1"/>
    <xf numFmtId="3" fontId="4" fillId="0" borderId="1" xfId="1" applyNumberFormat="1" applyFont="1" applyFill="1" applyBorder="1" applyAlignment="1">
      <alignment wrapText="1"/>
    </xf>
    <xf numFmtId="3" fontId="3" fillId="0" borderId="1" xfId="1" applyNumberFormat="1" applyFont="1" applyFill="1" applyBorder="1" applyAlignment="1">
      <alignment wrapText="1"/>
    </xf>
    <xf numFmtId="3" fontId="0" fillId="0" borderId="0" xfId="0" applyNumberFormat="1" applyAlignment="1">
      <alignment wrapText="1"/>
    </xf>
    <xf numFmtId="9" fontId="7" fillId="0" borderId="0" xfId="1" applyFont="1" applyFill="1" applyBorder="1" applyAlignment="1">
      <alignment horizontal="left"/>
    </xf>
    <xf numFmtId="0" fontId="0" fillId="0" borderId="1" xfId="0" applyFont="1" applyFill="1" applyBorder="1"/>
    <xf numFmtId="0" fontId="0" fillId="4" borderId="1" xfId="0" applyFill="1" applyBorder="1" applyAlignment="1">
      <alignment horizontal="right" wrapText="1"/>
    </xf>
    <xf numFmtId="3" fontId="0" fillId="4" borderId="1" xfId="0" applyNumberFormat="1" applyFill="1" applyBorder="1" applyAlignment="1">
      <alignment wrapText="1"/>
    </xf>
    <xf numFmtId="3" fontId="8" fillId="4" borderId="1" xfId="1" applyNumberFormat="1" applyFont="1" applyFill="1" applyBorder="1" applyAlignment="1">
      <alignment wrapText="1"/>
    </xf>
    <xf numFmtId="3" fontId="2" fillId="4" borderId="1" xfId="1" applyNumberFormat="1" applyFont="1" applyFill="1" applyBorder="1" applyAlignment="1">
      <alignment wrapText="1"/>
    </xf>
    <xf numFmtId="9" fontId="8" fillId="4" borderId="1" xfId="1" applyFont="1" applyFill="1" applyBorder="1" applyAlignment="1">
      <alignment horizontal="right" wrapText="1"/>
    </xf>
    <xf numFmtId="0" fontId="12" fillId="4" borderId="1" xfId="0" applyFont="1" applyFill="1" applyBorder="1" applyAlignment="1">
      <alignment horizontal="right" wrapText="1"/>
    </xf>
    <xf numFmtId="9" fontId="11" fillId="4" borderId="1" xfId="1" applyFont="1" applyFill="1" applyBorder="1" applyAlignment="1">
      <alignment horizontal="right" wrapText="1"/>
    </xf>
    <xf numFmtId="0" fontId="0" fillId="4" borderId="0" xfId="0" applyFill="1" applyAlignment="1">
      <alignment wrapText="1"/>
    </xf>
    <xf numFmtId="0" fontId="0" fillId="0" borderId="1" xfId="0" applyNumberFormat="1" applyBorder="1"/>
    <xf numFmtId="3" fontId="3" fillId="4" borderId="1" xfId="1" applyNumberFormat="1" applyFont="1" applyFill="1" applyBorder="1" applyAlignment="1">
      <alignment wrapText="1"/>
    </xf>
    <xf numFmtId="0" fontId="13" fillId="4" borderId="1" xfId="0" applyNumberFormat="1" applyFont="1" applyFill="1" applyBorder="1"/>
    <xf numFmtId="0" fontId="13" fillId="2" borderId="1" xfId="0" applyNumberFormat="1" applyFont="1" applyFill="1" applyBorder="1"/>
    <xf numFmtId="9" fontId="0" fillId="2" borderId="1" xfId="1" applyFont="1" applyFill="1" applyBorder="1" applyAlignment="1">
      <alignment horizontal="right" wrapText="1"/>
    </xf>
    <xf numFmtId="3" fontId="1" fillId="4" borderId="1" xfId="1" applyNumberFormat="1" applyFont="1" applyFill="1" applyBorder="1" applyAlignment="1">
      <alignment wrapText="1"/>
    </xf>
    <xf numFmtId="0" fontId="6" fillId="0" borderId="1" xfId="0" applyFont="1" applyBorder="1" applyAlignment="1" applyProtection="1">
      <alignment wrapText="1"/>
      <protection locked="0"/>
    </xf>
  </cellXfs>
  <cellStyles count="2">
    <cellStyle name="Normal" xfId="0" builtinId="0"/>
    <cellStyle name="Pro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DD3DE"/>
      <rgbColor rgb="00FF99CC"/>
      <rgbColor rgb="00003772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CED3D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enheten/AoU%202014/Regiontabeller/Specad%20total%20ram%202016-03-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ram"/>
    </sheetNames>
    <sheetDataSet>
      <sheetData sheetId="0">
        <row r="16">
          <cell r="F16">
            <v>0.30479093651152978</v>
          </cell>
        </row>
        <row r="20">
          <cell r="K20">
            <v>0.53094863365107647</v>
          </cell>
        </row>
        <row r="21">
          <cell r="K21">
            <v>0.26543560891122753</v>
          </cell>
        </row>
        <row r="22">
          <cell r="K22">
            <v>0.42379028780803563</v>
          </cell>
        </row>
        <row r="23">
          <cell r="K23">
            <v>0.2067827027307434</v>
          </cell>
        </row>
        <row r="24">
          <cell r="K24">
            <v>0.29357251608914209</v>
          </cell>
        </row>
        <row r="25">
          <cell r="K25">
            <v>0.38543993109685909</v>
          </cell>
        </row>
        <row r="26">
          <cell r="K26">
            <v>0.24873367114590469</v>
          </cell>
        </row>
        <row r="27">
          <cell r="F27">
            <v>6.8176009584291521E-3</v>
          </cell>
          <cell r="K27">
            <v>0.50814158002950205</v>
          </cell>
        </row>
        <row r="28">
          <cell r="K28">
            <v>0.32445228763140488</v>
          </cell>
          <cell r="N28">
            <v>0.47317010431491685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8"/>
  <sheetViews>
    <sheetView zoomScaleNormal="100" workbookViewId="0"/>
  </sheetViews>
  <sheetFormatPr defaultColWidth="7.1328125" defaultRowHeight="12.95" customHeight="1"/>
  <cols>
    <col min="1" max="1" width="28" style="1" customWidth="1"/>
    <col min="2" max="2" width="6.86328125" style="1" customWidth="1"/>
    <col min="3" max="4" width="9.265625" style="1" customWidth="1"/>
    <col min="5" max="5" width="10" style="1" customWidth="1"/>
    <col min="6" max="6" width="9.265625" style="1" customWidth="1"/>
    <col min="7" max="7" width="12.3984375" style="1" customWidth="1"/>
    <col min="8" max="8" width="10.86328125" style="1" customWidth="1"/>
    <col min="9" max="9" width="11.265625" style="1" customWidth="1"/>
    <col min="10" max="11" width="9.265625" style="1" customWidth="1"/>
    <col min="12" max="12" width="9.86328125" style="1" customWidth="1"/>
    <col min="13" max="25" width="9.265625" style="1" customWidth="1"/>
    <col min="26" max="16384" width="7.1328125" style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41">
        <v>1966</v>
      </c>
      <c r="D2" s="41">
        <v>1903</v>
      </c>
      <c r="E2" s="29">
        <f>SUM(C2:D2)</f>
        <v>3869</v>
      </c>
      <c r="F2" s="7">
        <f>E2/L2</f>
        <v>2.0363157894736847E-2</v>
      </c>
      <c r="G2" s="44"/>
      <c r="H2" s="44"/>
      <c r="I2" s="8"/>
      <c r="J2" s="45"/>
      <c r="K2" s="9"/>
      <c r="L2" s="10">
        <v>189999.99999999994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5000</v>
      </c>
    </row>
    <row r="4" spans="1:12" ht="14.25">
      <c r="A4" s="4" t="s">
        <v>15</v>
      </c>
      <c r="B4" s="5" t="s">
        <v>16</v>
      </c>
      <c r="C4" s="29">
        <f>SUM(C2:C3)</f>
        <v>1966</v>
      </c>
      <c r="D4" s="29">
        <f>SUM(D2:D3)</f>
        <v>1903</v>
      </c>
      <c r="E4" s="29">
        <f>SUM(E2:E3)</f>
        <v>3869</v>
      </c>
      <c r="F4" s="7">
        <f>E4/K4</f>
        <v>4.8362500000000024E-2</v>
      </c>
      <c r="G4" s="42">
        <f>45831</f>
        <v>45831</v>
      </c>
      <c r="H4" s="42">
        <f>22347</f>
        <v>22347</v>
      </c>
      <c r="I4" s="42">
        <f>68178</f>
        <v>68178</v>
      </c>
      <c r="J4" s="37">
        <f>I4/K4</f>
        <v>0.85222500000000045</v>
      </c>
      <c r="K4" s="12">
        <v>79999.999999999956</v>
      </c>
      <c r="L4" s="6">
        <v>195000</v>
      </c>
    </row>
    <row r="5" spans="1:12" ht="14.25">
      <c r="A5" s="4" t="s">
        <v>17</v>
      </c>
      <c r="B5" s="5" t="s">
        <v>18</v>
      </c>
      <c r="C5" s="11"/>
      <c r="D5" s="11"/>
      <c r="E5" s="6">
        <v>17</v>
      </c>
      <c r="F5" s="7">
        <f>E5/L5</f>
        <v>0.34</v>
      </c>
      <c r="G5" s="8"/>
      <c r="H5" s="8"/>
      <c r="I5" s="8"/>
      <c r="J5" s="13"/>
      <c r="K5" s="9"/>
      <c r="L5" s="12">
        <v>50</v>
      </c>
    </row>
    <row r="6" spans="1:12" ht="14.25">
      <c r="A6" s="25" t="s">
        <v>48</v>
      </c>
      <c r="B6" s="5" t="s">
        <v>19</v>
      </c>
      <c r="C6" s="6">
        <f>382+264</f>
        <v>646</v>
      </c>
      <c r="D6" s="6">
        <f>514+300</f>
        <v>814</v>
      </c>
      <c r="E6" s="29">
        <f>SUM(C6:D6)</f>
        <v>1460</v>
      </c>
      <c r="F6" s="7">
        <f>E6/L6</f>
        <v>4.8666666666666719E-2</v>
      </c>
      <c r="G6" s="43">
        <v>8456</v>
      </c>
      <c r="H6" s="43">
        <v>8619</v>
      </c>
      <c r="I6" s="42">
        <f>SUM(F6:H6)</f>
        <v>17075.048666666669</v>
      </c>
      <c r="J6" s="37">
        <f>I6/L6</f>
        <v>0.5691682888888896</v>
      </c>
      <c r="K6" s="9"/>
      <c r="L6" s="10">
        <v>29999.999999999967</v>
      </c>
    </row>
    <row r="7" spans="1:12" ht="14.25">
      <c r="A7" s="25" t="s">
        <v>48</v>
      </c>
      <c r="B7" s="5" t="s">
        <v>20</v>
      </c>
      <c r="C7" s="6">
        <f>505+501</f>
        <v>1006</v>
      </c>
      <c r="D7" s="6">
        <f>1097+870</f>
        <v>1967</v>
      </c>
      <c r="E7" s="29">
        <f>SUM(C7:D7)</f>
        <v>2973</v>
      </c>
      <c r="F7" s="7">
        <f>E7/L7</f>
        <v>7.4325000000000085E-2</v>
      </c>
      <c r="G7" s="43">
        <v>9416</v>
      </c>
      <c r="H7" s="43">
        <v>11371</v>
      </c>
      <c r="I7" s="42">
        <f>SUM(G7:H7)</f>
        <v>20787</v>
      </c>
      <c r="J7" s="37">
        <f>I7/L7</f>
        <v>0.51967500000000055</v>
      </c>
      <c r="K7" s="9"/>
      <c r="L7" s="10">
        <v>39999.999999999956</v>
      </c>
    </row>
    <row r="8" spans="1:12" ht="14.25">
      <c r="A8" s="25" t="s">
        <v>48</v>
      </c>
      <c r="B8" s="5" t="s">
        <v>21</v>
      </c>
      <c r="C8" s="6">
        <f>348+204</f>
        <v>552</v>
      </c>
      <c r="D8" s="6">
        <f>383+171</f>
        <v>554</v>
      </c>
      <c r="E8" s="29">
        <f>SUM(C8:D8)</f>
        <v>1106</v>
      </c>
      <c r="F8" s="7">
        <f>E8/L8</f>
        <v>5.5300000000000057E-2</v>
      </c>
      <c r="G8" s="43">
        <v>6853</v>
      </c>
      <c r="H8" s="43">
        <v>5909</v>
      </c>
      <c r="I8" s="42">
        <f>SUM(G8:H8)</f>
        <v>12762</v>
      </c>
      <c r="J8" s="37">
        <f>I8/L8</f>
        <v>0.63810000000000067</v>
      </c>
      <c r="K8" s="11"/>
      <c r="L8" s="10">
        <v>19999.999999999978</v>
      </c>
    </row>
    <row r="9" spans="1:12" ht="14.25">
      <c r="A9" s="4" t="s">
        <v>22</v>
      </c>
      <c r="B9" s="5" t="s">
        <v>16</v>
      </c>
      <c r="C9" s="29">
        <f>SUM(C6:C8)</f>
        <v>2204</v>
      </c>
      <c r="D9" s="29">
        <f>SUM(D6:D8)</f>
        <v>3335</v>
      </c>
      <c r="E9" s="29">
        <f>SUM(C9:D9)</f>
        <v>5539</v>
      </c>
      <c r="F9" s="7">
        <f>E9/K9</f>
        <v>0.15825714285714282</v>
      </c>
      <c r="G9" s="42">
        <f>SUM(G6:G8)</f>
        <v>24725</v>
      </c>
      <c r="H9" s="42">
        <f>SUM(H6:H8)</f>
        <v>25899</v>
      </c>
      <c r="I9" s="42">
        <f>SUM(I6:I8)</f>
        <v>50624.048666666669</v>
      </c>
      <c r="J9" s="37">
        <f>I9/K9</f>
        <v>1.4464013904761903</v>
      </c>
      <c r="K9" s="6">
        <v>35000.000000000007</v>
      </c>
      <c r="L9" s="6">
        <v>90000</v>
      </c>
    </row>
    <row r="10" spans="1:12" ht="14.25">
      <c r="A10" s="4" t="s">
        <v>14</v>
      </c>
      <c r="B10" s="5" t="s">
        <v>23</v>
      </c>
      <c r="C10" s="6">
        <f>3185+916</f>
        <v>4101</v>
      </c>
      <c r="D10" s="6">
        <f>5008+1096</f>
        <v>6104</v>
      </c>
      <c r="E10" s="29">
        <f>SUM(C10:D10)</f>
        <v>10205</v>
      </c>
      <c r="F10" s="7">
        <f>E10/K10</f>
        <v>0.51024999999999998</v>
      </c>
      <c r="G10" s="43">
        <v>13033</v>
      </c>
      <c r="H10" s="43">
        <v>14075</v>
      </c>
      <c r="I10" s="42">
        <f>SUM(G10:H10)</f>
        <v>27108</v>
      </c>
      <c r="J10" s="37">
        <f>I10/K10</f>
        <v>1.3553999999999999</v>
      </c>
      <c r="K10" s="10">
        <v>20000</v>
      </c>
      <c r="L10" s="10">
        <v>20000</v>
      </c>
    </row>
    <row r="11" spans="1:12" ht="12.95" customHeight="1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2.95" customHeight="1">
      <c r="A12" s="15" t="s">
        <v>24</v>
      </c>
      <c r="B12" s="2"/>
      <c r="C12" s="2"/>
      <c r="D12" s="2"/>
      <c r="E12" s="2"/>
      <c r="F12" s="2"/>
      <c r="G12" s="2"/>
      <c r="H12" s="2"/>
      <c r="I12" s="30"/>
      <c r="J12" s="2"/>
      <c r="K12" s="2"/>
      <c r="L12" s="2"/>
    </row>
    <row r="13" spans="1:12" ht="12.95" customHeight="1">
      <c r="A13" s="15" t="s">
        <v>49</v>
      </c>
    </row>
    <row r="15" spans="1:12" ht="5.25" customHeight="1"/>
    <row r="16" spans="1:12" ht="63.75" customHeight="1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2" ht="12.95" customHeight="1">
      <c r="A17" s="16" t="s">
        <v>16</v>
      </c>
      <c r="B17" s="16">
        <v>224</v>
      </c>
      <c r="C17" s="17">
        <v>2237.1122799999998</v>
      </c>
      <c r="D17" s="19">
        <f>C17/6126</f>
        <v>0.36518319947763628</v>
      </c>
      <c r="E17" s="17">
        <v>400.00923799999998</v>
      </c>
      <c r="F17" s="19">
        <f>E17/1390</f>
        <v>0.28777643021582733</v>
      </c>
      <c r="G17" s="17">
        <v>2058.6369639999998</v>
      </c>
      <c r="H17" s="19">
        <f>G17/4402</f>
        <v>0.46765946478873233</v>
      </c>
      <c r="I17" s="17">
        <f t="shared" ref="I17:I26" si="0">C17+E17+G17</f>
        <v>4695.7584819999993</v>
      </c>
      <c r="J17" s="19">
        <f>I17/11954</f>
        <v>0.39281901305002503</v>
      </c>
      <c r="K17" s="17">
        <v>263.98926599999999</v>
      </c>
      <c r="L17" s="19">
        <f t="shared" ref="L17:L26" si="1">K17/I17</f>
        <v>5.6218663504934499E-2</v>
      </c>
    </row>
    <row r="18" spans="1:12" ht="12.95" customHeight="1">
      <c r="A18" s="16" t="s">
        <v>13</v>
      </c>
      <c r="B18" s="16">
        <v>68</v>
      </c>
      <c r="C18" s="17">
        <v>429.96087799999998</v>
      </c>
      <c r="D18" s="18"/>
      <c r="E18" s="17">
        <v>157.012597</v>
      </c>
      <c r="F18" s="18"/>
      <c r="G18" s="17">
        <v>285.99687599999999</v>
      </c>
      <c r="H18" s="18"/>
      <c r="I18" s="17">
        <f t="shared" si="0"/>
        <v>872.97035099999994</v>
      </c>
      <c r="J18" s="18"/>
      <c r="K18" s="17">
        <v>42.742457000000002</v>
      </c>
      <c r="L18" s="19">
        <f t="shared" si="1"/>
        <v>4.896209470463448E-2</v>
      </c>
    </row>
    <row r="19" spans="1:12" ht="12.95" customHeight="1">
      <c r="A19" s="16" t="s">
        <v>18</v>
      </c>
      <c r="B19" s="16">
        <v>18</v>
      </c>
      <c r="C19" s="17">
        <v>45.200816000000003</v>
      </c>
      <c r="D19" s="18"/>
      <c r="E19" s="17">
        <v>39.741633999999998</v>
      </c>
      <c r="F19" s="18"/>
      <c r="G19" s="17">
        <v>11.302675000000001</v>
      </c>
      <c r="H19" s="18"/>
      <c r="I19" s="17">
        <f t="shared" si="0"/>
        <v>96.245125000000002</v>
      </c>
      <c r="J19" s="18"/>
      <c r="K19" s="17">
        <v>3.8973059999999999</v>
      </c>
      <c r="L19" s="19">
        <f t="shared" si="1"/>
        <v>4.0493541880692659E-2</v>
      </c>
    </row>
    <row r="20" spans="1:12" ht="12.95" customHeight="1">
      <c r="A20" s="16" t="s">
        <v>33</v>
      </c>
      <c r="B20" s="32">
        <v>86</v>
      </c>
      <c r="C20" s="17">
        <f>SUM(C18:C19)</f>
        <v>475.16169400000001</v>
      </c>
      <c r="D20" s="19">
        <f>C20/1626</f>
        <v>0.29222736408364086</v>
      </c>
      <c r="E20" s="17">
        <f>SUM(E18:E19)</f>
        <v>196.754231</v>
      </c>
      <c r="F20" s="19">
        <f>E20/834</f>
        <v>0.23591634412470025</v>
      </c>
      <c r="G20" s="17">
        <f>SUM(G18:G19)</f>
        <v>297.29955100000001</v>
      </c>
      <c r="H20" s="19">
        <f>G20/792</f>
        <v>0.37537822095959594</v>
      </c>
      <c r="I20" s="17">
        <f t="shared" si="0"/>
        <v>969.21547600000008</v>
      </c>
      <c r="J20" s="19">
        <f>I20/3252</f>
        <v>0.29803673923739238</v>
      </c>
      <c r="K20" s="17">
        <v>46.639763000000002</v>
      </c>
      <c r="L20" s="19">
        <f t="shared" si="1"/>
        <v>4.8121149687461243E-2</v>
      </c>
    </row>
    <row r="21" spans="1:12" ht="12.95" customHeight="1">
      <c r="A21" s="16" t="s">
        <v>19</v>
      </c>
      <c r="B21" s="16">
        <v>48</v>
      </c>
      <c r="C21" s="17">
        <v>496.869237</v>
      </c>
      <c r="D21" s="18"/>
      <c r="E21" s="17">
        <v>9.8079400000000003</v>
      </c>
      <c r="F21" s="18"/>
      <c r="G21" s="17">
        <v>556.56358499999999</v>
      </c>
      <c r="H21" s="18"/>
      <c r="I21" s="17">
        <f t="shared" si="0"/>
        <v>1063.2407619999999</v>
      </c>
      <c r="J21" s="18"/>
      <c r="K21" s="17">
        <v>56.474243000000001</v>
      </c>
      <c r="L21" s="19">
        <f t="shared" si="1"/>
        <v>5.3115197440107176E-2</v>
      </c>
    </row>
    <row r="22" spans="1:12" ht="12.95" customHeight="1">
      <c r="A22" s="16" t="s">
        <v>20</v>
      </c>
      <c r="B22" s="16">
        <v>16</v>
      </c>
      <c r="C22" s="17">
        <v>364.96956299999999</v>
      </c>
      <c r="D22" s="18"/>
      <c r="E22" s="17">
        <v>72.980525</v>
      </c>
      <c r="F22" s="18"/>
      <c r="G22" s="17">
        <v>353.69309500000003</v>
      </c>
      <c r="H22" s="18"/>
      <c r="I22" s="17">
        <f t="shared" si="0"/>
        <v>791.64318300000002</v>
      </c>
      <c r="J22" s="18"/>
      <c r="K22" s="17">
        <v>44.372051999999996</v>
      </c>
      <c r="L22" s="19">
        <f t="shared" si="1"/>
        <v>5.6050570449995264E-2</v>
      </c>
    </row>
    <row r="23" spans="1:12" ht="12.95" customHeight="1">
      <c r="A23" s="16" t="s">
        <v>34</v>
      </c>
      <c r="B23" s="16">
        <v>64</v>
      </c>
      <c r="C23" s="17">
        <f>SUM(C21:C22)</f>
        <v>861.83879999999999</v>
      </c>
      <c r="D23" s="19">
        <f>'[1]Total ram'!$K$28</f>
        <v>0.32445228763140488</v>
      </c>
      <c r="E23" s="17">
        <f>SUM(E21:E22)</f>
        <v>82.788465000000002</v>
      </c>
      <c r="F23" s="18"/>
      <c r="G23" s="17">
        <f>SUM(G21:G22)</f>
        <v>910.25667999999996</v>
      </c>
      <c r="H23" s="18"/>
      <c r="I23" s="17">
        <f t="shared" si="0"/>
        <v>1854.883945</v>
      </c>
      <c r="J23" s="18"/>
      <c r="K23" s="17">
        <v>100.846296</v>
      </c>
      <c r="L23" s="19">
        <f t="shared" si="1"/>
        <v>5.4367981496545863E-2</v>
      </c>
    </row>
    <row r="24" spans="1:12" ht="12.95" customHeight="1">
      <c r="A24" s="16" t="s">
        <v>21</v>
      </c>
      <c r="B24" s="16">
        <v>49</v>
      </c>
      <c r="C24" s="17">
        <v>538.66122399999995</v>
      </c>
      <c r="D24" s="19">
        <f>'[1]Total ram'!$N$28</f>
        <v>0.47317010431491685</v>
      </c>
      <c r="E24" s="17">
        <v>120.466542</v>
      </c>
      <c r="F24" s="18"/>
      <c r="G24" s="17">
        <v>491.33639199999999</v>
      </c>
      <c r="H24" s="18"/>
      <c r="I24" s="17">
        <f t="shared" si="0"/>
        <v>1150.464158</v>
      </c>
      <c r="J24" s="18"/>
      <c r="K24" s="17">
        <v>30.321771999999999</v>
      </c>
      <c r="L24" s="19">
        <f t="shared" si="1"/>
        <v>2.6356120518097877E-2</v>
      </c>
    </row>
    <row r="25" spans="1:12" ht="12.95" customHeight="1">
      <c r="A25" s="16" t="s">
        <v>35</v>
      </c>
      <c r="B25" s="16">
        <v>113</v>
      </c>
      <c r="C25" s="17">
        <f>SUM(C23:C24)</f>
        <v>1400.5000239999999</v>
      </c>
      <c r="D25" s="19">
        <f>C25/3795</f>
        <v>0.36903821449275359</v>
      </c>
      <c r="E25" s="17">
        <f>SUM(E23:E24)</f>
        <v>203.25500700000001</v>
      </c>
      <c r="F25" s="19">
        <f>E25/556</f>
        <v>0.36556655935251797</v>
      </c>
      <c r="G25" s="17">
        <f>SUM(G23:G24)</f>
        <v>1401.5930719999999</v>
      </c>
      <c r="H25" s="19">
        <f>G25/3239</f>
        <v>0.43272401111454151</v>
      </c>
      <c r="I25" s="17">
        <f t="shared" si="0"/>
        <v>3005.3481029999998</v>
      </c>
      <c r="J25" s="19">
        <f>I25/7590</f>
        <v>0.39596154189723315</v>
      </c>
      <c r="K25" s="17">
        <v>131.16806700000001</v>
      </c>
      <c r="L25" s="19">
        <f t="shared" si="1"/>
        <v>4.364488322303342E-2</v>
      </c>
    </row>
    <row r="26" spans="1:12" ht="12.95" customHeight="1">
      <c r="A26" s="16" t="s">
        <v>23</v>
      </c>
      <c r="B26" s="16">
        <v>25</v>
      </c>
      <c r="C26" s="17">
        <f>722901126/1000000</f>
        <v>722.90112599999998</v>
      </c>
      <c r="D26" s="19">
        <f>C26/741</f>
        <v>0.97557506882591094</v>
      </c>
      <c r="E26" s="18"/>
      <c r="F26" s="18"/>
      <c r="G26" s="17">
        <v>359.74434100000002</v>
      </c>
      <c r="H26" s="19">
        <f>G26/371</f>
        <v>0.96966129649595689</v>
      </c>
      <c r="I26" s="17">
        <f t="shared" si="0"/>
        <v>1082.6454670000001</v>
      </c>
      <c r="J26" s="19">
        <f>I26/1112</f>
        <v>0.97360203866906481</v>
      </c>
      <c r="K26" s="17">
        <v>86.181436000000005</v>
      </c>
      <c r="L26" s="19">
        <f t="shared" si="1"/>
        <v>7.9602638746373661E-2</v>
      </c>
    </row>
    <row r="27" spans="1:12" ht="12.95" customHeight="1">
      <c r="A27" s="15" t="s">
        <v>45</v>
      </c>
    </row>
    <row r="28" spans="1:12" ht="24.75" customHeight="1">
      <c r="A28" s="23" t="s">
        <v>47</v>
      </c>
      <c r="B28" s="24">
        <f>E24/(E23+E24)</f>
        <v>0.59268671300185982</v>
      </c>
      <c r="C28" s="31"/>
    </row>
  </sheetData>
  <phoneticPr fontId="0" type="noConversion"/>
  <pageMargins left="0.70866141732283472" right="0.59055118110236227" top="1.6535433070866143" bottom="0.98425196850393704" header="0.39370078740157483" footer="0.39370078740157483"/>
  <pageSetup paperSize="9" scale="85" fitToWidth="0" orientation="landscape" r:id="rId1"/>
  <headerFooter alignWithMargins="0">
    <oddHeader>&amp;L&amp;8&amp;G&amp;C&amp;"Verdana,Normal"&amp;8&amp;A&amp;R&amp;D</oddHeader>
    <oddFooter>&amp;L&amp;8&amp;G&amp;C&amp;"Verdana,Normal"&amp;8&amp;G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C26" sqref="C26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.132812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6">
        <v>167</v>
      </c>
      <c r="D2" s="6">
        <v>198</v>
      </c>
      <c r="E2" s="6">
        <v>365</v>
      </c>
      <c r="F2" s="7">
        <f>E2/L2</f>
        <v>1.525865755460774E-2</v>
      </c>
      <c r="G2" s="8"/>
      <c r="H2" s="8"/>
      <c r="I2" s="8"/>
      <c r="J2" s="8"/>
      <c r="K2" s="9"/>
      <c r="L2" s="10">
        <v>23920.846161842001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629.49595162742025</v>
      </c>
    </row>
    <row r="4" spans="1:12" ht="14.25">
      <c r="A4" s="4" t="s">
        <v>15</v>
      </c>
      <c r="B4" s="5" t="s">
        <v>16</v>
      </c>
      <c r="C4" s="6">
        <v>167</v>
      </c>
      <c r="D4" s="6">
        <v>198</v>
      </c>
      <c r="E4" s="6">
        <v>365</v>
      </c>
      <c r="F4" s="7">
        <f>E4/K4</f>
        <v>3.6239311692193389E-2</v>
      </c>
      <c r="G4" s="36">
        <v>1941</v>
      </c>
      <c r="H4" s="36">
        <f>1703</f>
        <v>1703</v>
      </c>
      <c r="I4" s="36">
        <f>3644</f>
        <v>3644</v>
      </c>
      <c r="J4" s="37">
        <f>I4/K4</f>
        <v>0.36179740220918549</v>
      </c>
      <c r="K4" s="12">
        <v>10071.935226038735</v>
      </c>
      <c r="L4" s="6">
        <v>24550.342113469429</v>
      </c>
    </row>
    <row r="5" spans="1:12" ht="14.25">
      <c r="A5" s="4" t="s">
        <v>17</v>
      </c>
      <c r="B5" s="5" t="s">
        <v>18</v>
      </c>
      <c r="C5" s="11"/>
      <c r="D5" s="11"/>
      <c r="E5" s="6">
        <v>1</v>
      </c>
      <c r="F5" s="7">
        <f>E5/L5</f>
        <v>0.16666666666666666</v>
      </c>
      <c r="G5" s="33"/>
      <c r="H5" s="33"/>
      <c r="I5" s="33"/>
      <c r="J5" s="37"/>
      <c r="K5" s="9"/>
      <c r="L5" s="12">
        <v>6</v>
      </c>
    </row>
    <row r="6" spans="1:12" ht="14.25">
      <c r="A6" s="25" t="s">
        <v>48</v>
      </c>
      <c r="B6" s="5" t="s">
        <v>19</v>
      </c>
      <c r="C6" s="27">
        <f>0+5</f>
        <v>5</v>
      </c>
      <c r="D6" s="27">
        <f>3+9</f>
        <v>12</v>
      </c>
      <c r="E6" s="26">
        <f>SUM(C6:D6)</f>
        <v>17</v>
      </c>
      <c r="F6" s="7">
        <f>E6/L6</f>
        <v>4.0182857933357624E-3</v>
      </c>
      <c r="G6" s="35">
        <v>243</v>
      </c>
      <c r="H6" s="35">
        <v>212</v>
      </c>
      <c r="I6" s="36">
        <f>SUM(G6:H6)</f>
        <v>455</v>
      </c>
      <c r="J6" s="37">
        <f>I6/L6</f>
        <v>0.10754823740986892</v>
      </c>
      <c r="K6" s="9"/>
      <c r="L6" s="10">
        <v>4230.6597575001069</v>
      </c>
    </row>
    <row r="7" spans="1:12" ht="14.25">
      <c r="A7" s="25" t="s">
        <v>48</v>
      </c>
      <c r="B7" s="5" t="s">
        <v>20</v>
      </c>
      <c r="C7" s="27">
        <f>3+81</f>
        <v>84</v>
      </c>
      <c r="D7" s="27">
        <f>6+122</f>
        <v>128</v>
      </c>
      <c r="E7" s="26">
        <f>SUM(C7:D7)</f>
        <v>212</v>
      </c>
      <c r="F7" s="7">
        <f>E7/L7</f>
        <v>3.7582790655316826E-2</v>
      </c>
      <c r="G7" s="35">
        <v>1991</v>
      </c>
      <c r="H7" s="35">
        <v>2399</v>
      </c>
      <c r="I7" s="36">
        <f>SUM(G7:H7)</f>
        <v>4390</v>
      </c>
      <c r="J7" s="37">
        <f>I7/L7</f>
        <v>0.77824741026811728</v>
      </c>
      <c r="K7" s="9"/>
      <c r="L7" s="10">
        <v>5640.8796766668102</v>
      </c>
    </row>
    <row r="8" spans="1:12" ht="14.25">
      <c r="A8" s="25" t="s">
        <v>48</v>
      </c>
      <c r="B8" s="5" t="s">
        <v>21</v>
      </c>
      <c r="C8" s="27">
        <f>30+6</f>
        <v>36</v>
      </c>
      <c r="D8" s="6">
        <v>0</v>
      </c>
      <c r="E8" s="28">
        <f>SUM(C8:D8)</f>
        <v>36</v>
      </c>
      <c r="F8" s="7">
        <f>E8/L8</f>
        <v>1.2763966637654771E-2</v>
      </c>
      <c r="G8" s="35">
        <v>1096</v>
      </c>
      <c r="H8" s="35">
        <v>505</v>
      </c>
      <c r="I8" s="36">
        <f>SUM(G8:H8)</f>
        <v>1601</v>
      </c>
      <c r="J8" s="37">
        <f>I8/L8</f>
        <v>0.56764196074681361</v>
      </c>
      <c r="K8" s="11"/>
      <c r="L8" s="10">
        <v>2820.4398383334051</v>
      </c>
    </row>
    <row r="9" spans="1:12" ht="14.25">
      <c r="A9" s="4" t="s">
        <v>22</v>
      </c>
      <c r="B9" s="5" t="s">
        <v>16</v>
      </c>
      <c r="C9" s="28">
        <f>SUM(C6:C8)</f>
        <v>125</v>
      </c>
      <c r="D9" s="28">
        <f>SUM(D6:D8)</f>
        <v>140</v>
      </c>
      <c r="E9" s="28">
        <f>SUM(E6:E8)</f>
        <v>265</v>
      </c>
      <c r="F9" s="7">
        <f>E9/K9</f>
        <v>5.3689700936166825E-2</v>
      </c>
      <c r="G9" s="36">
        <f>SUM(G6:G8)</f>
        <v>3330</v>
      </c>
      <c r="H9" s="36">
        <f>SUM(H6:H8)</f>
        <v>3116</v>
      </c>
      <c r="I9" s="36">
        <f>SUM(I6:I8)</f>
        <v>6446</v>
      </c>
      <c r="J9" s="37">
        <f>I9/K9</f>
        <v>1.3059766499416279</v>
      </c>
      <c r="K9" s="6">
        <v>4935.7697170834654</v>
      </c>
      <c r="L9" s="6">
        <v>12691.979272500335</v>
      </c>
    </row>
    <row r="10" spans="1:12" ht="14.25">
      <c r="A10" s="4" t="s">
        <v>14</v>
      </c>
      <c r="B10" s="5" t="s">
        <v>23</v>
      </c>
      <c r="C10" s="11"/>
      <c r="D10" s="11"/>
      <c r="E10" s="11"/>
      <c r="F10" s="13"/>
      <c r="G10" s="35"/>
      <c r="H10" s="35"/>
      <c r="I10" s="35"/>
      <c r="J10" s="37"/>
      <c r="K10" s="11"/>
      <c r="L10" s="11"/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5" spans="1:12" ht="63.75">
      <c r="A15" s="25" t="s">
        <v>51</v>
      </c>
      <c r="B15" s="20" t="s">
        <v>17</v>
      </c>
      <c r="C15" s="20" t="s">
        <v>26</v>
      </c>
      <c r="D15" s="20" t="s">
        <v>27</v>
      </c>
      <c r="E15" s="21" t="s">
        <v>30</v>
      </c>
      <c r="F15" s="20" t="s">
        <v>27</v>
      </c>
      <c r="G15" s="21" t="s">
        <v>31</v>
      </c>
      <c r="H15" s="20" t="s">
        <v>27</v>
      </c>
      <c r="I15" s="20" t="s">
        <v>28</v>
      </c>
      <c r="J15" s="20" t="s">
        <v>29</v>
      </c>
      <c r="K15" s="21" t="s">
        <v>44</v>
      </c>
      <c r="L15" s="21" t="s">
        <v>46</v>
      </c>
    </row>
    <row r="16" spans="1:12" ht="14.25">
      <c r="A16" s="16" t="s">
        <v>36</v>
      </c>
      <c r="B16" s="16">
        <v>20</v>
      </c>
      <c r="C16" s="17">
        <v>199.58656999999999</v>
      </c>
      <c r="D16" s="19">
        <f>C16/708</f>
        <v>0.28190193502824856</v>
      </c>
      <c r="E16" s="17">
        <v>85.675533999999999</v>
      </c>
      <c r="F16" s="19">
        <f>E16/173</f>
        <v>0.49523430057803469</v>
      </c>
      <c r="G16" s="17">
        <v>140.826515</v>
      </c>
      <c r="H16" s="19">
        <f>G16/535</f>
        <v>0.26322713084112148</v>
      </c>
      <c r="I16" s="17">
        <f t="shared" ref="I16:I21" si="0">C16+E16+G16</f>
        <v>426.08861899999999</v>
      </c>
      <c r="J16" s="19">
        <f>I16/1410</f>
        <v>0.30219050992907803</v>
      </c>
      <c r="K16" s="17">
        <v>11.510033999999999</v>
      </c>
      <c r="L16" s="19">
        <f>K16/I16</f>
        <v>2.7013239703546268E-2</v>
      </c>
    </row>
    <row r="17" spans="1:12" ht="14.25">
      <c r="A17" s="16" t="s">
        <v>13</v>
      </c>
      <c r="B17" s="16">
        <v>8</v>
      </c>
      <c r="C17" s="17">
        <v>50.026215000000001</v>
      </c>
      <c r="D17" s="18"/>
      <c r="E17" s="17">
        <v>29.380476000000002</v>
      </c>
      <c r="F17" s="18"/>
      <c r="G17" s="17">
        <v>26.651935000000002</v>
      </c>
      <c r="H17" s="18"/>
      <c r="I17" s="17">
        <f t="shared" si="0"/>
        <v>106.058626</v>
      </c>
      <c r="J17" s="18"/>
      <c r="K17" s="17">
        <v>2.4599899999999999</v>
      </c>
      <c r="L17" s="19">
        <f>K17/I17</f>
        <v>2.3194624452328845E-2</v>
      </c>
    </row>
    <row r="18" spans="1:12" ht="14.25">
      <c r="A18" s="16" t="s">
        <v>18</v>
      </c>
      <c r="B18" s="16">
        <v>1</v>
      </c>
      <c r="C18" s="17">
        <f>5181121/1000000</f>
        <v>5.1811210000000001</v>
      </c>
      <c r="D18" s="18"/>
      <c r="E18" s="17">
        <f>5842541/1000000</f>
        <v>5.8425409999999998</v>
      </c>
      <c r="F18" s="18"/>
      <c r="G18" s="17">
        <v>0</v>
      </c>
      <c r="H18" s="18"/>
      <c r="I18" s="17">
        <f t="shared" si="0"/>
        <v>11.023662</v>
      </c>
      <c r="J18" s="18"/>
      <c r="K18" s="18"/>
      <c r="L18" s="18"/>
    </row>
    <row r="19" spans="1:12" ht="14.25">
      <c r="A19" s="16" t="s">
        <v>33</v>
      </c>
      <c r="B19" s="16">
        <v>9</v>
      </c>
      <c r="C19" s="17">
        <f>SUM(C17:C18)</f>
        <v>55.207335999999998</v>
      </c>
      <c r="D19" s="19">
        <f>C19/189</f>
        <v>0.29210230687830685</v>
      </c>
      <c r="E19" s="17">
        <f>SUM(E17:E18)</f>
        <v>35.223016999999999</v>
      </c>
      <c r="F19" s="19">
        <f>E19/97</f>
        <v>0.36312388659793815</v>
      </c>
      <c r="G19" s="17">
        <f>SUM(G17:G18)</f>
        <v>26.651935000000002</v>
      </c>
      <c r="H19" s="19">
        <f>G19/92</f>
        <v>0.28969494565217391</v>
      </c>
      <c r="I19" s="17">
        <f t="shared" si="0"/>
        <v>117.08228800000001</v>
      </c>
      <c r="J19" s="19">
        <f>I19/378</f>
        <v>0.30974150264550265</v>
      </c>
      <c r="K19" s="17">
        <f>2459990/1000000</f>
        <v>2.4599899999999999</v>
      </c>
      <c r="L19" s="19">
        <f t="shared" ref="L19:L24" si="1">K19/I19</f>
        <v>2.1010778333952609E-2</v>
      </c>
    </row>
    <row r="20" spans="1:12" ht="14.25">
      <c r="A20" s="16" t="s">
        <v>19</v>
      </c>
      <c r="B20" s="16">
        <v>4</v>
      </c>
      <c r="C20" s="17">
        <v>31.040037999999999</v>
      </c>
      <c r="D20" s="18"/>
      <c r="E20" s="17">
        <v>1.878576</v>
      </c>
      <c r="F20" s="18"/>
      <c r="G20" s="17">
        <v>33.517017000000003</v>
      </c>
      <c r="H20" s="18"/>
      <c r="I20" s="17">
        <f t="shared" si="0"/>
        <v>66.435631000000001</v>
      </c>
      <c r="J20" s="18"/>
      <c r="K20" s="17">
        <v>0.97312500000000002</v>
      </c>
      <c r="L20" s="19">
        <f t="shared" si="1"/>
        <v>1.4647636898338484E-2</v>
      </c>
    </row>
    <row r="21" spans="1:12" ht="14.25">
      <c r="A21" s="16" t="s">
        <v>20</v>
      </c>
      <c r="B21" s="16">
        <v>1</v>
      </c>
      <c r="C21" s="17">
        <v>44.1</v>
      </c>
      <c r="D21" s="18"/>
      <c r="E21" s="17">
        <v>18.899999999999999</v>
      </c>
      <c r="F21" s="18"/>
      <c r="G21" s="17">
        <v>31.467707999999998</v>
      </c>
      <c r="H21" s="18"/>
      <c r="I21" s="17">
        <f t="shared" si="0"/>
        <v>94.467708000000002</v>
      </c>
      <c r="J21" s="18"/>
      <c r="K21" s="17">
        <v>5.2153099999999997</v>
      </c>
      <c r="L21" s="19">
        <f t="shared" si="1"/>
        <v>5.5207330742056318E-2</v>
      </c>
    </row>
    <row r="22" spans="1:12" ht="14.25">
      <c r="A22" s="16" t="s">
        <v>34</v>
      </c>
      <c r="B22" s="16">
        <v>5</v>
      </c>
      <c r="C22" s="17">
        <f>SUM(C20:C21)</f>
        <v>75.140038000000004</v>
      </c>
      <c r="D22" s="19">
        <f>'[1]Total ram'!$K$23</f>
        <v>0.2067827027307434</v>
      </c>
      <c r="E22" s="17">
        <f>SUM(E20:E21)</f>
        <v>20.778575999999997</v>
      </c>
      <c r="F22" s="18"/>
      <c r="G22" s="17">
        <f>SUM(G20:G21)</f>
        <v>64.984724999999997</v>
      </c>
      <c r="H22" s="18"/>
      <c r="I22" s="17">
        <f>SUM(I20:I21)</f>
        <v>160.90333900000002</v>
      </c>
      <c r="J22" s="18"/>
      <c r="K22" s="17">
        <f>SUM(K20:K21)</f>
        <v>6.1884350000000001</v>
      </c>
      <c r="L22" s="19">
        <f t="shared" si="1"/>
        <v>3.8460575389302518E-2</v>
      </c>
    </row>
    <row r="23" spans="1:12" ht="14.25">
      <c r="A23" s="16" t="s">
        <v>21</v>
      </c>
      <c r="B23" s="16">
        <v>6</v>
      </c>
      <c r="C23" s="17">
        <v>69.239196000000007</v>
      </c>
      <c r="D23" s="19">
        <v>0.44</v>
      </c>
      <c r="E23" s="17">
        <v>29.673940999999999</v>
      </c>
      <c r="F23" s="18"/>
      <c r="G23" s="17">
        <v>49.189855000000001</v>
      </c>
      <c r="H23" s="18"/>
      <c r="I23" s="17">
        <f>C23+E23+G23</f>
        <v>148.102992</v>
      </c>
      <c r="J23" s="18"/>
      <c r="K23" s="17">
        <v>2.8616090000000001</v>
      </c>
      <c r="L23" s="19">
        <f t="shared" si="1"/>
        <v>1.9321750096716481E-2</v>
      </c>
    </row>
    <row r="24" spans="1:12" ht="14.25">
      <c r="A24" s="16" t="s">
        <v>35</v>
      </c>
      <c r="B24" s="16">
        <v>11</v>
      </c>
      <c r="C24" s="17">
        <f>SUM(C22:C23)</f>
        <v>144.379234</v>
      </c>
      <c r="D24" s="19">
        <f>C24/189</f>
        <v>0.76391129100529098</v>
      </c>
      <c r="E24" s="17">
        <f>SUM(E22:E23)</f>
        <v>50.452517</v>
      </c>
      <c r="F24" s="19">
        <f>E24/97</f>
        <v>0.52012904123711345</v>
      </c>
      <c r="G24" s="17">
        <f>SUM(G22:G23)</f>
        <v>114.17457999999999</v>
      </c>
      <c r="H24" s="19">
        <f>G24/92</f>
        <v>1.2410280434782608</v>
      </c>
      <c r="I24" s="17">
        <f>C24+E24+G24</f>
        <v>309.00633099999999</v>
      </c>
      <c r="J24" s="19">
        <f>I24/1038</f>
        <v>0.29769396050096336</v>
      </c>
      <c r="K24" s="17">
        <v>9.0500450000000008</v>
      </c>
      <c r="L24" s="19">
        <f t="shared" si="1"/>
        <v>2.928757145755697E-2</v>
      </c>
    </row>
    <row r="25" spans="1:12" ht="13.15">
      <c r="A25" s="15" t="s">
        <v>45</v>
      </c>
    </row>
    <row r="26" spans="1:12" ht="39.4">
      <c r="A26" s="23" t="s">
        <v>47</v>
      </c>
      <c r="B26" s="24">
        <f>E23/(E22+E23)</f>
        <v>0.58815580994700423</v>
      </c>
      <c r="C26" s="22"/>
      <c r="E26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opLeftCell="A13" workbookViewId="0">
      <selection activeCell="C27" sqref="C27"/>
    </sheetView>
  </sheetViews>
  <sheetFormatPr defaultRowHeight="12.75"/>
  <cols>
    <col min="1" max="1" width="28" customWidth="1"/>
    <col min="2" max="2" width="7.265625" customWidth="1"/>
    <col min="3" max="3" width="10" customWidth="1"/>
    <col min="4" max="4" width="9.265625" customWidth="1"/>
    <col min="5" max="5" width="10.73046875" customWidth="1"/>
    <col min="6" max="6" width="9.265625" customWidth="1"/>
    <col min="7" max="7" width="12.3984375" customWidth="1"/>
    <col min="8" max="8" width="10.86328125" customWidth="1"/>
    <col min="9" max="9" width="10.5976562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27">
        <v>287</v>
      </c>
      <c r="D2" s="27">
        <v>299</v>
      </c>
      <c r="E2" s="26">
        <f>SUM(C2:D2)</f>
        <v>586</v>
      </c>
      <c r="F2" s="7">
        <f>E2/L2</f>
        <v>7.5726649789924341E-2</v>
      </c>
      <c r="G2" s="8"/>
      <c r="H2" s="8"/>
      <c r="I2" s="8"/>
      <c r="J2" s="8"/>
      <c r="K2" s="9"/>
      <c r="L2" s="10">
        <v>7738.3589743589719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203.64102564102529</v>
      </c>
    </row>
    <row r="4" spans="1:12" ht="14.25">
      <c r="A4" s="4" t="s">
        <v>15</v>
      </c>
      <c r="B4" s="5" t="s">
        <v>16</v>
      </c>
      <c r="C4" s="26">
        <f>SUM(C2:C3)</f>
        <v>287</v>
      </c>
      <c r="D4" s="26">
        <f>SUM(D2:D3)</f>
        <v>299</v>
      </c>
      <c r="E4" s="26">
        <f>SUM(E2:E3)</f>
        <v>586</v>
      </c>
      <c r="F4" s="7">
        <f>E4/K4</f>
        <v>0.17985079325107037</v>
      </c>
      <c r="G4" s="36">
        <f>1612</f>
        <v>1612</v>
      </c>
      <c r="H4" s="36">
        <f>1381</f>
        <v>1381</v>
      </c>
      <c r="I4" s="36">
        <f>2993</f>
        <v>2993</v>
      </c>
      <c r="J4" s="37">
        <f>I4/K4</f>
        <v>0.91858946109292428</v>
      </c>
      <c r="K4" s="12">
        <v>3258.2564102564083</v>
      </c>
      <c r="L4" s="6">
        <v>7942</v>
      </c>
    </row>
    <row r="5" spans="1:12" ht="14.25">
      <c r="A5" s="4" t="s">
        <v>17</v>
      </c>
      <c r="B5" s="5" t="s">
        <v>18</v>
      </c>
      <c r="C5" s="11"/>
      <c r="D5" s="11"/>
      <c r="E5" s="6">
        <v>1</v>
      </c>
      <c r="F5" s="7">
        <f>E5/L5</f>
        <v>0.5</v>
      </c>
      <c r="G5" s="33"/>
      <c r="H5" s="33"/>
      <c r="I5" s="33"/>
      <c r="J5" s="37"/>
      <c r="K5" s="9"/>
      <c r="L5" s="12">
        <v>2</v>
      </c>
    </row>
    <row r="6" spans="1:12" ht="14.25">
      <c r="A6" s="25" t="s">
        <v>48</v>
      </c>
      <c r="B6" s="5" t="s">
        <v>19</v>
      </c>
      <c r="C6" s="27">
        <f>25+24</f>
        <v>49</v>
      </c>
      <c r="D6" s="27">
        <f>51+34</f>
        <v>85</v>
      </c>
      <c r="E6" s="26">
        <f>SUM(C6:D6)</f>
        <v>134</v>
      </c>
      <c r="F6" s="7">
        <f>E6/L6</f>
        <v>0.10360824742268053</v>
      </c>
      <c r="G6" s="35">
        <v>740</v>
      </c>
      <c r="H6" s="35">
        <v>740</v>
      </c>
      <c r="I6" s="36">
        <f>SUM(G6:H6)</f>
        <v>1480</v>
      </c>
      <c r="J6" s="37">
        <f>I6/L6</f>
        <v>1.1443298969072178</v>
      </c>
      <c r="K6" s="9"/>
      <c r="L6" s="10">
        <v>1293.3333333333319</v>
      </c>
    </row>
    <row r="7" spans="1:12" ht="14.25">
      <c r="A7" s="25" t="s">
        <v>48</v>
      </c>
      <c r="B7" s="5" t="s">
        <v>20</v>
      </c>
      <c r="C7" s="6">
        <v>0</v>
      </c>
      <c r="D7" s="6">
        <v>0</v>
      </c>
      <c r="E7" s="6">
        <v>0</v>
      </c>
      <c r="F7" s="7">
        <v>0</v>
      </c>
      <c r="G7" s="35">
        <v>0</v>
      </c>
      <c r="H7" s="35">
        <v>0</v>
      </c>
      <c r="I7" s="35">
        <v>0</v>
      </c>
      <c r="J7" s="37">
        <v>0</v>
      </c>
      <c r="K7" s="9"/>
      <c r="L7" s="10">
        <v>1724.4444444444425</v>
      </c>
    </row>
    <row r="8" spans="1:12" ht="14.25">
      <c r="A8" s="25" t="s">
        <v>48</v>
      </c>
      <c r="B8" s="5" t="s">
        <v>21</v>
      </c>
      <c r="C8" s="27">
        <f>91+69</f>
        <v>160</v>
      </c>
      <c r="D8" s="27">
        <f>125+50</f>
        <v>175</v>
      </c>
      <c r="E8" s="6">
        <v>332</v>
      </c>
      <c r="F8" s="7">
        <f>E8/L8</f>
        <v>0.38505154639175299</v>
      </c>
      <c r="G8" s="35">
        <v>787</v>
      </c>
      <c r="H8" s="35">
        <v>747</v>
      </c>
      <c r="I8" s="36">
        <f>SUM(G8:H8)</f>
        <v>1534</v>
      </c>
      <c r="J8" s="37">
        <f>I8/L8</f>
        <v>1.7791237113402081</v>
      </c>
      <c r="K8" s="11"/>
      <c r="L8" s="10">
        <v>862.22222222222126</v>
      </c>
    </row>
    <row r="9" spans="1:12" ht="14.25">
      <c r="A9" s="4" t="s">
        <v>22</v>
      </c>
      <c r="B9" s="5" t="s">
        <v>16</v>
      </c>
      <c r="C9" s="28">
        <f>SUM(C6:C8)</f>
        <v>209</v>
      </c>
      <c r="D9" s="28">
        <f>SUM(D6:D8)</f>
        <v>260</v>
      </c>
      <c r="E9" s="28">
        <f>SUM(E6:E8)</f>
        <v>466</v>
      </c>
      <c r="F9" s="7">
        <f>E9/K9</f>
        <v>0.30883652430044173</v>
      </c>
      <c r="G9" s="36">
        <f>SUM(G6:G8)</f>
        <v>1527</v>
      </c>
      <c r="H9" s="36">
        <f>SUM(H6:H8)</f>
        <v>1487</v>
      </c>
      <c r="I9" s="36">
        <f>SUM(I6:I8)</f>
        <v>3014</v>
      </c>
      <c r="J9" s="37">
        <f>I9/K9</f>
        <v>1.9974963181148742</v>
      </c>
      <c r="K9" s="6">
        <v>1508.8888888888894</v>
      </c>
      <c r="L9" s="6">
        <v>3880</v>
      </c>
    </row>
    <row r="10" spans="1:12" ht="14.25">
      <c r="A10" s="4" t="s">
        <v>14</v>
      </c>
      <c r="B10" s="5" t="s">
        <v>23</v>
      </c>
      <c r="C10" s="11"/>
      <c r="D10" s="11"/>
      <c r="E10" s="11"/>
      <c r="F10" s="13"/>
      <c r="G10" s="35"/>
      <c r="H10" s="35"/>
      <c r="I10" s="35"/>
      <c r="J10" s="37"/>
      <c r="K10" s="11"/>
      <c r="L10" s="11"/>
    </row>
    <row r="11" spans="1:12" ht="13.15">
      <c r="A11" s="15" t="s">
        <v>25</v>
      </c>
      <c r="B11" s="2"/>
      <c r="C11" s="2"/>
      <c r="D11" s="2"/>
      <c r="E11" s="2"/>
      <c r="F11" s="2"/>
      <c r="G11" s="40"/>
      <c r="H11" s="40"/>
      <c r="I11" s="40"/>
      <c r="J11" s="40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6" spans="1:12" s="2" customFormat="1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2" ht="14.25">
      <c r="A17" s="16" t="s">
        <v>32</v>
      </c>
      <c r="B17" s="16">
        <v>21</v>
      </c>
      <c r="C17" s="17">
        <v>97.237098000000003</v>
      </c>
      <c r="D17" s="19">
        <f>C17/210</f>
        <v>0.4630338</v>
      </c>
      <c r="E17" s="17">
        <v>23.381028000000001</v>
      </c>
      <c r="F17" s="19">
        <f>E17/53</f>
        <v>0.4411514716981132</v>
      </c>
      <c r="G17" s="17">
        <v>86.952310999999995</v>
      </c>
      <c r="H17" s="19">
        <f>G17/157</f>
        <v>0.55383637579617828</v>
      </c>
      <c r="I17" s="17">
        <f>C17+E17+G17</f>
        <v>207.570437</v>
      </c>
      <c r="J17" s="19">
        <f>I17/434</f>
        <v>0.47827289631336406</v>
      </c>
      <c r="K17" s="17">
        <v>15.954734</v>
      </c>
      <c r="L17" s="19">
        <f>K17/I17</f>
        <v>7.6864192370515658E-2</v>
      </c>
    </row>
    <row r="18" spans="1:12" ht="14.25">
      <c r="A18" s="16" t="s">
        <v>13</v>
      </c>
      <c r="B18" s="16">
        <v>8</v>
      </c>
      <c r="C18" s="17">
        <v>22.482557</v>
      </c>
      <c r="D18" s="18"/>
      <c r="E18" s="17">
        <v>13.204041999999999</v>
      </c>
      <c r="F18" s="18"/>
      <c r="G18" s="17">
        <v>12.126961</v>
      </c>
      <c r="H18" s="18"/>
      <c r="I18" s="17">
        <f>C18+E18+G18</f>
        <v>47.813560000000003</v>
      </c>
      <c r="J18" s="18"/>
      <c r="K18" s="17">
        <f>5352855/1000000</f>
        <v>5.3528549999999999</v>
      </c>
      <c r="L18" s="19">
        <f>K18/I18</f>
        <v>0.11195265527185175</v>
      </c>
    </row>
    <row r="19" spans="1:12" ht="14.25">
      <c r="A19" s="16" t="s">
        <v>18</v>
      </c>
      <c r="B19" s="16">
        <v>1</v>
      </c>
      <c r="C19" s="17">
        <v>1.3781969999999999</v>
      </c>
      <c r="D19" s="18"/>
      <c r="E19" s="17">
        <v>1.554138</v>
      </c>
      <c r="F19" s="18"/>
      <c r="G19" s="17">
        <v>0</v>
      </c>
      <c r="H19" s="18"/>
      <c r="I19" s="17">
        <f>C19+E19+G19</f>
        <v>2.9323350000000001</v>
      </c>
      <c r="J19" s="18"/>
      <c r="K19" s="17">
        <v>0.94918999999999998</v>
      </c>
      <c r="L19" s="19">
        <f>K19/I19</f>
        <v>0.32369766755844742</v>
      </c>
    </row>
    <row r="20" spans="1:12" ht="14.25">
      <c r="A20" s="16" t="s">
        <v>33</v>
      </c>
      <c r="B20" s="16">
        <v>9</v>
      </c>
      <c r="C20" s="17">
        <f>SUM(C18:C19)</f>
        <v>23.860754</v>
      </c>
      <c r="D20" s="19">
        <f>C20/60</f>
        <v>0.39767923333333333</v>
      </c>
      <c r="E20" s="17">
        <f>SUM(E18:E19)</f>
        <v>14.758179999999999</v>
      </c>
      <c r="F20" s="19">
        <f>E20/31</f>
        <v>0.47607032258064513</v>
      </c>
      <c r="G20" s="17">
        <f>SUM(G18:G19)</f>
        <v>12.126961</v>
      </c>
      <c r="H20" s="19">
        <f>G20/29</f>
        <v>0.41817106896551726</v>
      </c>
      <c r="I20" s="17">
        <f>C20+E20+G20</f>
        <v>50.745894999999997</v>
      </c>
      <c r="J20" s="19">
        <f>I20/60</f>
        <v>0.84576491666666664</v>
      </c>
      <c r="K20" s="17">
        <v>5.4946409999999997</v>
      </c>
      <c r="L20" s="19">
        <f>K20/I20</f>
        <v>0.1082775463906982</v>
      </c>
    </row>
    <row r="21" spans="1:12" ht="14.25">
      <c r="A21" s="16" t="s">
        <v>19</v>
      </c>
      <c r="B21" s="16">
        <v>7</v>
      </c>
      <c r="C21" s="17">
        <v>53.256363</v>
      </c>
      <c r="D21" s="18"/>
      <c r="E21" s="17">
        <v>0</v>
      </c>
      <c r="F21" s="18"/>
      <c r="G21" s="17">
        <v>60.556696000000002</v>
      </c>
      <c r="H21" s="18"/>
      <c r="I21" s="17">
        <f>C21+E21+G21</f>
        <v>113.81305900000001</v>
      </c>
      <c r="J21" s="18"/>
      <c r="K21" s="17">
        <v>7.2015630000000002</v>
      </c>
      <c r="L21" s="19">
        <f>K21/I21</f>
        <v>6.3275366318025064E-2</v>
      </c>
    </row>
    <row r="22" spans="1:12" ht="14.25">
      <c r="A22" s="16" t="s">
        <v>20</v>
      </c>
      <c r="B22" s="16">
        <v>0</v>
      </c>
      <c r="C22" s="17">
        <v>0</v>
      </c>
      <c r="D22" s="18"/>
      <c r="E22" s="17">
        <v>0</v>
      </c>
      <c r="F22" s="18"/>
      <c r="G22" s="17">
        <v>0</v>
      </c>
      <c r="H22" s="18"/>
      <c r="I22" s="17">
        <v>0</v>
      </c>
      <c r="J22" s="18"/>
      <c r="K22" s="18"/>
      <c r="L22" s="18"/>
    </row>
    <row r="23" spans="1:12" ht="14.25">
      <c r="A23" s="16" t="s">
        <v>34</v>
      </c>
      <c r="B23" s="16">
        <v>7</v>
      </c>
      <c r="C23" s="17">
        <f>SUM(C21:C22)</f>
        <v>53.256363</v>
      </c>
      <c r="D23" s="19">
        <f>'[1]Total ram'!$K$27</f>
        <v>0.50814158002950205</v>
      </c>
      <c r="E23" s="17">
        <v>0</v>
      </c>
      <c r="F23" s="18"/>
      <c r="G23" s="17">
        <f>SUM(G21:G22)</f>
        <v>60.556696000000002</v>
      </c>
      <c r="H23" s="18"/>
      <c r="I23" s="17">
        <f>C23+E23+G23</f>
        <v>113.81305900000001</v>
      </c>
      <c r="J23" s="18"/>
      <c r="K23" s="17">
        <v>7.2015630000000002</v>
      </c>
      <c r="L23" s="19">
        <f>K23/I23</f>
        <v>6.3275366318025064E-2</v>
      </c>
    </row>
    <row r="24" spans="1:12" ht="14.25">
      <c r="A24" s="16" t="s">
        <v>21</v>
      </c>
      <c r="B24" s="16">
        <v>5</v>
      </c>
      <c r="C24" s="17">
        <v>20.119980000000002</v>
      </c>
      <c r="D24" s="19">
        <v>0.45</v>
      </c>
      <c r="E24" s="17">
        <v>8.6228490000000004</v>
      </c>
      <c r="F24" s="18"/>
      <c r="G24" s="17">
        <v>14.268654</v>
      </c>
      <c r="H24" s="18"/>
      <c r="I24" s="17">
        <f>C24+E24+G24</f>
        <v>43.011482999999998</v>
      </c>
      <c r="J24" s="18"/>
      <c r="K24" s="17">
        <v>3.3053970000000001</v>
      </c>
      <c r="L24" s="19">
        <f>K24/I24</f>
        <v>7.6849175370214517E-2</v>
      </c>
    </row>
    <row r="25" spans="1:12" ht="14.25">
      <c r="A25" s="16" t="s">
        <v>35</v>
      </c>
      <c r="B25" s="16">
        <v>12</v>
      </c>
      <c r="C25" s="17">
        <f>SUM(C23:C24)</f>
        <v>73.376343000000006</v>
      </c>
      <c r="D25" s="19">
        <f>C25/150</f>
        <v>0.48917562000000003</v>
      </c>
      <c r="E25" s="17">
        <v>8.6228490000000004</v>
      </c>
      <c r="F25" s="19">
        <f>E25/22</f>
        <v>0.39194768181818185</v>
      </c>
      <c r="G25" s="17">
        <f>SUM(G23:G24)</f>
        <v>74.82535</v>
      </c>
      <c r="H25" s="19">
        <f>G25/128</f>
        <v>0.584573046875</v>
      </c>
      <c r="I25" s="17">
        <f>C25+E25+G25</f>
        <v>156.82454200000001</v>
      </c>
      <c r="J25" s="19">
        <f>I25/150</f>
        <v>1.0454969466666668</v>
      </c>
      <c r="K25" s="17">
        <v>10.506959999999999</v>
      </c>
      <c r="L25" s="19">
        <f>K25/I25</f>
        <v>6.6998187056717173E-2</v>
      </c>
    </row>
    <row r="26" spans="1:12" ht="13.15">
      <c r="A26" s="15" t="s">
        <v>45</v>
      </c>
    </row>
    <row r="27" spans="1:12" ht="39.4">
      <c r="A27" s="23" t="s">
        <v>47</v>
      </c>
      <c r="B27" s="24">
        <f>E24/(E23+E24)</f>
        <v>1</v>
      </c>
      <c r="C27" s="22"/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zoomScaleNormal="100" workbookViewId="0">
      <selection activeCell="C28" sqref="C28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.132812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6">
        <v>8</v>
      </c>
      <c r="D2" s="6">
        <v>3</v>
      </c>
      <c r="E2" s="28">
        <f>SUM(C2:D2)</f>
        <v>11</v>
      </c>
      <c r="F2" s="7">
        <f>E2/L2</f>
        <v>3.1206753820590326E-4</v>
      </c>
      <c r="G2" s="8"/>
      <c r="H2" s="8"/>
      <c r="I2" s="8"/>
      <c r="J2" s="8"/>
      <c r="K2" s="9"/>
      <c r="L2" s="10">
        <v>35248.7800020461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927.59947373805403</v>
      </c>
    </row>
    <row r="4" spans="1:12" ht="14.25">
      <c r="A4" s="4" t="s">
        <v>15</v>
      </c>
      <c r="B4" s="5" t="s">
        <v>16</v>
      </c>
      <c r="C4" s="28">
        <f>SUM(C2:C3)</f>
        <v>8</v>
      </c>
      <c r="D4" s="28">
        <f>SUM(D2:D3)</f>
        <v>3</v>
      </c>
      <c r="E4" s="28">
        <f>SUM(C4:D4)</f>
        <v>11</v>
      </c>
      <c r="F4" s="7">
        <v>7.4116040323902045E-4</v>
      </c>
      <c r="G4" s="36">
        <f>92</f>
        <v>92</v>
      </c>
      <c r="H4" s="36">
        <f>93</f>
        <v>93</v>
      </c>
      <c r="I4" s="36">
        <f>185</f>
        <v>185</v>
      </c>
      <c r="J4" s="37">
        <f>I4/K4</f>
        <v>1.2464970418110798E-2</v>
      </c>
      <c r="K4" s="34">
        <v>14841.591579808881</v>
      </c>
      <c r="L4" s="6">
        <v>36176.379475784168</v>
      </c>
    </row>
    <row r="5" spans="1:12" ht="14.25">
      <c r="A5" s="4" t="s">
        <v>17</v>
      </c>
      <c r="B5" s="5" t="s">
        <v>18</v>
      </c>
      <c r="C5" s="11"/>
      <c r="D5" s="11"/>
      <c r="E5" s="6">
        <v>1</v>
      </c>
      <c r="F5" s="7">
        <f>E5/L5</f>
        <v>0.1111111111111111</v>
      </c>
      <c r="G5" s="8"/>
      <c r="H5" s="8"/>
      <c r="I5" s="8"/>
      <c r="J5" s="13"/>
      <c r="K5" s="9"/>
      <c r="L5" s="12">
        <v>9</v>
      </c>
    </row>
    <row r="6" spans="1:12" ht="14.25">
      <c r="A6" s="25" t="s">
        <v>48</v>
      </c>
      <c r="B6" s="5" t="s">
        <v>19</v>
      </c>
      <c r="C6" s="6">
        <v>0</v>
      </c>
      <c r="D6" s="6">
        <v>0</v>
      </c>
      <c r="E6" s="6">
        <v>0</v>
      </c>
      <c r="F6" s="7">
        <v>0</v>
      </c>
      <c r="G6" s="35">
        <v>2150</v>
      </c>
      <c r="H6" s="35">
        <v>2150</v>
      </c>
      <c r="I6" s="36">
        <f>SUM(G6:H6)</f>
        <v>4300</v>
      </c>
      <c r="J6" s="37">
        <f>I6/L6</f>
        <v>0.64449258166530288</v>
      </c>
      <c r="K6" s="9"/>
      <c r="L6" s="10">
        <v>6671.9154297932182</v>
      </c>
    </row>
    <row r="7" spans="1:12" ht="14.25">
      <c r="A7" s="25" t="s">
        <v>48</v>
      </c>
      <c r="B7" s="5" t="s">
        <v>20</v>
      </c>
      <c r="C7" s="27">
        <f>441+367</f>
        <v>808</v>
      </c>
      <c r="D7" s="27">
        <f>1017+683</f>
        <v>1700</v>
      </c>
      <c r="E7" s="26">
        <f>SUM(C7:D7)</f>
        <v>2508</v>
      </c>
      <c r="F7" s="7">
        <f>E7/L7</f>
        <v>0.28192803397963595</v>
      </c>
      <c r="G7" s="35">
        <v>5503</v>
      </c>
      <c r="H7" s="35">
        <v>6503</v>
      </c>
      <c r="I7" s="36">
        <f>SUM(G7:H7)</f>
        <v>12006</v>
      </c>
      <c r="J7" s="37">
        <f>I7/L7</f>
        <v>1.3496124306058648</v>
      </c>
      <c r="K7" s="9"/>
      <c r="L7" s="10">
        <v>8895.8872397242922</v>
      </c>
    </row>
    <row r="8" spans="1:12" ht="14.25">
      <c r="A8" s="25" t="s">
        <v>48</v>
      </c>
      <c r="B8" s="5" t="s">
        <v>21</v>
      </c>
      <c r="C8" s="6">
        <v>0</v>
      </c>
      <c r="D8" s="6">
        <v>0</v>
      </c>
      <c r="E8" s="6">
        <v>0</v>
      </c>
      <c r="F8" s="7">
        <v>0</v>
      </c>
      <c r="G8" s="35">
        <v>1</v>
      </c>
      <c r="H8" s="35">
        <v>1</v>
      </c>
      <c r="I8" s="36">
        <f>SUM(G8:H8)</f>
        <v>2</v>
      </c>
      <c r="J8" s="37">
        <f>I8/L8</f>
        <v>4.496459872083508E-4</v>
      </c>
      <c r="K8" s="11"/>
      <c r="L8" s="10">
        <v>4447.9436198621461</v>
      </c>
    </row>
    <row r="9" spans="1:12" ht="14.25">
      <c r="A9" s="4" t="s">
        <v>22</v>
      </c>
      <c r="B9" s="5" t="s">
        <v>16</v>
      </c>
      <c r="C9" s="28">
        <f>SUM(C6:C8)</f>
        <v>808</v>
      </c>
      <c r="D9" s="28">
        <f>SUM(D6:D8)</f>
        <v>1700</v>
      </c>
      <c r="E9" s="28">
        <f>SUM(E6:E8)</f>
        <v>2508</v>
      </c>
      <c r="F9" s="7">
        <f>E9/K9</f>
        <v>0.32220346740529782</v>
      </c>
      <c r="G9" s="36">
        <f>SUM(G6:G8)</f>
        <v>7654</v>
      </c>
      <c r="H9" s="36">
        <f>SUM(H6:H8)</f>
        <v>8654</v>
      </c>
      <c r="I9" s="36">
        <f>SUM(I6:I8)</f>
        <v>16308</v>
      </c>
      <c r="J9" s="37">
        <f>I9/K9</f>
        <v>2.0950933598267931</v>
      </c>
      <c r="K9" s="35">
        <v>7783.9013347587652</v>
      </c>
      <c r="L9" s="6">
        <v>20015.746289379676</v>
      </c>
    </row>
    <row r="10" spans="1:12" ht="14.25">
      <c r="A10" s="4" t="s">
        <v>14</v>
      </c>
      <c r="B10" s="5" t="s">
        <v>23</v>
      </c>
      <c r="C10" s="41">
        <v>2333</v>
      </c>
      <c r="D10" s="41">
        <v>3523</v>
      </c>
      <c r="E10" s="29">
        <f>SUM(C10:D10)</f>
        <v>5856</v>
      </c>
      <c r="F10" s="7">
        <f>E10/K10</f>
        <v>0.58560000000000001</v>
      </c>
      <c r="G10" s="35">
        <v>7700</v>
      </c>
      <c r="H10" s="35">
        <v>7700</v>
      </c>
      <c r="I10" s="36">
        <f>SUM(G10:H10)</f>
        <v>15400</v>
      </c>
      <c r="J10" s="37">
        <f>I10/K10</f>
        <v>1.54</v>
      </c>
      <c r="K10" s="35">
        <v>10000</v>
      </c>
      <c r="L10" s="10">
        <v>10000</v>
      </c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4" spans="1:12">
      <c r="A14" s="1"/>
    </row>
    <row r="15" spans="1:12">
      <c r="A15" s="1"/>
    </row>
    <row r="16" spans="1:12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4" ht="14.25">
      <c r="A17" s="16" t="s">
        <v>43</v>
      </c>
      <c r="B17" s="16">
        <v>23</v>
      </c>
      <c r="C17" s="17">
        <v>251.136269</v>
      </c>
      <c r="D17" s="19">
        <f>C17/1727</f>
        <v>0.14541764273306312</v>
      </c>
      <c r="E17" s="17">
        <v>45.481223999999997</v>
      </c>
      <c r="F17" s="19">
        <f>E17/348</f>
        <v>0.13069317241379311</v>
      </c>
      <c r="G17" s="17">
        <v>207.62596500000001</v>
      </c>
      <c r="H17" s="19">
        <f>G17/1191</f>
        <v>0.1743291057934509</v>
      </c>
      <c r="I17" s="17">
        <f t="shared" ref="I17:I22" si="0">C17+E17+G17</f>
        <v>504.24345799999998</v>
      </c>
      <c r="J17" s="19">
        <f>I17/3266</f>
        <v>0.15439175076546233</v>
      </c>
      <c r="K17" s="17">
        <v>51.123443999999999</v>
      </c>
      <c r="L17" s="19">
        <f>K17/I17</f>
        <v>0.10138642988601748</v>
      </c>
    </row>
    <row r="18" spans="1:14" ht="14.25">
      <c r="A18" s="16" t="s">
        <v>13</v>
      </c>
      <c r="B18" s="16">
        <v>8</v>
      </c>
      <c r="C18" s="17">
        <v>44.442818000000003</v>
      </c>
      <c r="D18" s="18"/>
      <c r="E18" s="17">
        <v>5.2397410000000004</v>
      </c>
      <c r="F18" s="18"/>
      <c r="G18" s="17">
        <v>4.3692149999999996</v>
      </c>
      <c r="H18" s="18"/>
      <c r="I18" s="17">
        <f t="shared" si="0"/>
        <v>54.051774000000002</v>
      </c>
      <c r="J18" s="18"/>
      <c r="K18" s="17">
        <f>12042023/1000000</f>
        <v>12.042023</v>
      </c>
      <c r="L18" s="19">
        <f>K18/I18</f>
        <v>0.22278682287097551</v>
      </c>
    </row>
    <row r="19" spans="1:14" ht="14.25">
      <c r="A19" s="16" t="s">
        <v>18</v>
      </c>
      <c r="B19" s="16">
        <v>1</v>
      </c>
      <c r="C19" s="17">
        <v>2.35</v>
      </c>
      <c r="D19" s="18"/>
      <c r="E19" s="17">
        <v>2.65</v>
      </c>
      <c r="F19" s="18"/>
      <c r="G19" s="17">
        <v>0</v>
      </c>
      <c r="H19" s="18"/>
      <c r="I19" s="17">
        <f t="shared" si="0"/>
        <v>5</v>
      </c>
      <c r="J19" s="18"/>
      <c r="K19" s="17">
        <v>0</v>
      </c>
      <c r="L19" s="19">
        <f t="shared" ref="L19:L23" si="1">K19/I19</f>
        <v>0</v>
      </c>
    </row>
    <row r="20" spans="1:14" ht="14.25">
      <c r="A20" s="16" t="s">
        <v>33</v>
      </c>
      <c r="B20" s="16">
        <v>9</v>
      </c>
      <c r="C20" s="17">
        <f>SUM(C18:C19)</f>
        <v>46.792818000000004</v>
      </c>
      <c r="D20" s="19">
        <f>C20/407</f>
        <v>0.1149700687960688</v>
      </c>
      <c r="E20" s="17">
        <f>SUM(E18:E19)</f>
        <v>7.8897410000000008</v>
      </c>
      <c r="F20" s="19">
        <f>E20/209</f>
        <v>3.7749956937799048E-2</v>
      </c>
      <c r="G20" s="17">
        <f>SUM(G18:G19)</f>
        <v>4.3692149999999996</v>
      </c>
      <c r="H20" s="19">
        <f>G20/198</f>
        <v>2.2066742424242423E-2</v>
      </c>
      <c r="I20" s="17">
        <f t="shared" si="0"/>
        <v>59.051774000000002</v>
      </c>
      <c r="J20" s="19">
        <f>I20/814</f>
        <v>7.2545176904176903E-2</v>
      </c>
      <c r="K20" s="17">
        <f>12042023/1000000</f>
        <v>12.042023</v>
      </c>
      <c r="L20" s="19">
        <f>K20/I20</f>
        <v>0.20392313700855116</v>
      </c>
    </row>
    <row r="21" spans="1:14" ht="14.25">
      <c r="A21" s="16" t="s">
        <v>19</v>
      </c>
      <c r="B21" s="16">
        <v>6</v>
      </c>
      <c r="C21" s="17">
        <v>16.330144000000001</v>
      </c>
      <c r="D21" s="18"/>
      <c r="E21" s="17">
        <v>1.838921</v>
      </c>
      <c r="F21" s="18"/>
      <c r="G21" s="17">
        <v>16.036649000000001</v>
      </c>
      <c r="H21" s="18"/>
      <c r="I21" s="17">
        <f t="shared" si="0"/>
        <v>34.205714</v>
      </c>
      <c r="J21" s="18"/>
      <c r="K21" s="17">
        <f>6922546/1000000</f>
        <v>6.9225459999999996</v>
      </c>
      <c r="L21" s="19">
        <f>K21/I21</f>
        <v>0.20237981291663726</v>
      </c>
    </row>
    <row r="22" spans="1:14" ht="14.25">
      <c r="A22" s="16" t="s">
        <v>20</v>
      </c>
      <c r="B22" s="16">
        <v>5</v>
      </c>
      <c r="C22" s="17">
        <v>186.073002</v>
      </c>
      <c r="D22" s="18"/>
      <c r="E22" s="17">
        <v>34.613017999999997</v>
      </c>
      <c r="F22" s="18"/>
      <c r="G22" s="17">
        <v>186.19372000000001</v>
      </c>
      <c r="H22" s="18"/>
      <c r="I22" s="17">
        <f t="shared" si="0"/>
        <v>406.87973999999997</v>
      </c>
      <c r="J22" s="18"/>
      <c r="K22" s="17">
        <f>30542720/1000000</f>
        <v>30.542719999999999</v>
      </c>
      <c r="L22" s="19">
        <f t="shared" si="1"/>
        <v>7.5065718435624249E-2</v>
      </c>
    </row>
    <row r="23" spans="1:14" ht="14.25">
      <c r="A23" s="16" t="s">
        <v>34</v>
      </c>
      <c r="B23" s="16">
        <v>11</v>
      </c>
      <c r="C23" s="17">
        <f>SUM(C21:C22)</f>
        <v>202.40314599999999</v>
      </c>
      <c r="D23" s="19">
        <f>'[1]Total ram'!$F$16</f>
        <v>0.30479093651152978</v>
      </c>
      <c r="E23" s="17">
        <f>SUM(E21:E22)</f>
        <v>36.451938999999996</v>
      </c>
      <c r="F23" s="18"/>
      <c r="G23" s="17">
        <f>SUM(G21:G22)</f>
        <v>202.23036900000002</v>
      </c>
      <c r="H23" s="18"/>
      <c r="I23" s="17">
        <f>SUM(I21:I22)</f>
        <v>441.08545399999997</v>
      </c>
      <c r="J23" s="18"/>
      <c r="K23" s="17">
        <f>SUM(K21:K22)</f>
        <v>37.465266</v>
      </c>
      <c r="L23" s="19">
        <f t="shared" si="1"/>
        <v>8.4938792835367455E-2</v>
      </c>
    </row>
    <row r="24" spans="1:14" ht="14.25">
      <c r="A24" s="16" t="s">
        <v>21</v>
      </c>
      <c r="B24" s="16">
        <v>1</v>
      </c>
      <c r="C24" s="17">
        <v>1.9403049999999999</v>
      </c>
      <c r="D24" s="19">
        <f>'[1]Total ram'!$F$27</f>
        <v>6.8176009584291521E-3</v>
      </c>
      <c r="E24" s="17">
        <v>1.1395439999999999</v>
      </c>
      <c r="F24" s="18"/>
      <c r="G24" s="17">
        <v>1.026381</v>
      </c>
      <c r="H24" s="18"/>
      <c r="I24" s="17">
        <f>C24+E24+G24</f>
        <v>4.10623</v>
      </c>
      <c r="J24" s="18"/>
      <c r="K24" s="17">
        <v>1.616155</v>
      </c>
      <c r="L24" s="19">
        <f>K24/I24</f>
        <v>0.39358608748170465</v>
      </c>
    </row>
    <row r="25" spans="1:14" ht="14.25">
      <c r="A25" s="16" t="s">
        <v>35</v>
      </c>
      <c r="B25" s="16">
        <v>12</v>
      </c>
      <c r="C25" s="17">
        <f>SUM(C23:C24)</f>
        <v>204.34345099999999</v>
      </c>
      <c r="D25" s="19">
        <f>C25/949</f>
        <v>0.21532502739726025</v>
      </c>
      <c r="E25" s="17">
        <f>SUM(E23:E24)</f>
        <v>37.591482999999997</v>
      </c>
      <c r="F25" s="19">
        <f>E25/139</f>
        <v>0.27044232374100718</v>
      </c>
      <c r="G25" s="17">
        <f>SUM(G23:G24)</f>
        <v>203.25675000000001</v>
      </c>
      <c r="H25" s="19">
        <f>G25/810</f>
        <v>0.25093425925925927</v>
      </c>
      <c r="I25" s="17">
        <f>SUM(I23:I24)</f>
        <v>445.19168399999995</v>
      </c>
      <c r="J25" s="19">
        <f>I25/1898</f>
        <v>0.23455831612223391</v>
      </c>
      <c r="K25" s="17">
        <f>39081420/1000000</f>
        <v>39.081420000000001</v>
      </c>
      <c r="L25" s="19">
        <f>K25/I25</f>
        <v>8.7785602032943652E-2</v>
      </c>
    </row>
    <row r="26" spans="1:14" ht="14.25">
      <c r="A26" s="16" t="s">
        <v>23</v>
      </c>
      <c r="B26" s="16">
        <v>2</v>
      </c>
      <c r="C26" s="17">
        <v>373.89345500000002</v>
      </c>
      <c r="D26" s="19">
        <f>C26/371</f>
        <v>1.0077990700808626</v>
      </c>
      <c r="E26" s="18"/>
      <c r="F26" s="18"/>
      <c r="G26" s="17">
        <v>186.09116900000001</v>
      </c>
      <c r="H26" s="19">
        <f>G26/185</f>
        <v>1.0058982108108108</v>
      </c>
      <c r="I26" s="17">
        <f>C26+G26</f>
        <v>559.98462400000005</v>
      </c>
      <c r="J26" s="19">
        <f>I26/556</f>
        <v>1.0071665899280577</v>
      </c>
      <c r="K26" s="17">
        <f>38454240/1000000</f>
        <v>38.454239999999999</v>
      </c>
      <c r="L26" s="19">
        <f>K26/I26</f>
        <v>6.8670171200986396E-2</v>
      </c>
      <c r="N26" s="27"/>
    </row>
    <row r="27" spans="1:14" ht="13.15">
      <c r="A27" s="15" t="s">
        <v>45</v>
      </c>
      <c r="L27" s="22"/>
    </row>
    <row r="28" spans="1:14" ht="39.4">
      <c r="A28" s="23" t="s">
        <v>47</v>
      </c>
      <c r="B28" s="24">
        <f>E24/(E23+E24)</f>
        <v>3.0313887855927365E-2</v>
      </c>
      <c r="C28" s="22"/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98" zoomScaleNormal="98" workbookViewId="0">
      <selection activeCell="C2" sqref="C2:D2"/>
    </sheetView>
  </sheetViews>
  <sheetFormatPr defaultRowHeight="12.75"/>
  <cols>
    <col min="1" max="1" width="28" customWidth="1"/>
    <col min="2" max="2" width="6.86328125" customWidth="1"/>
    <col min="3" max="3" width="7.796875" customWidth="1"/>
    <col min="4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.26562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41">
        <v>315</v>
      </c>
      <c r="D2" s="41">
        <v>223</v>
      </c>
      <c r="E2" s="28">
        <f>SUM(C2:D2)</f>
        <v>538</v>
      </c>
      <c r="F2" s="7">
        <f>E2/L2</f>
        <v>9.5201892512097125E-2</v>
      </c>
      <c r="G2" s="8"/>
      <c r="H2" s="8"/>
      <c r="I2" s="8"/>
      <c r="J2" s="8"/>
      <c r="K2" s="9"/>
      <c r="L2" s="10">
        <v>5651.1481631695224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148.71442534656617</v>
      </c>
    </row>
    <row r="4" spans="1:12" ht="14.25">
      <c r="A4" s="4" t="s">
        <v>15</v>
      </c>
      <c r="B4" s="5" t="s">
        <v>16</v>
      </c>
      <c r="C4" s="28">
        <f>SUM(C2:C3)</f>
        <v>315</v>
      </c>
      <c r="D4" s="28">
        <f>SUM(D2:D3)</f>
        <v>223</v>
      </c>
      <c r="E4" s="28">
        <f>SUM(C4:D4)</f>
        <v>538</v>
      </c>
      <c r="F4" s="7">
        <f>E4/K4</f>
        <v>0.22610449471623073</v>
      </c>
      <c r="G4" s="36">
        <f>1318</f>
        <v>1318</v>
      </c>
      <c r="H4" s="36">
        <f>425</f>
        <v>425</v>
      </c>
      <c r="I4" s="46">
        <f>SUM(G4:H4)</f>
        <v>1743</v>
      </c>
      <c r="J4" s="37">
        <f>I4/K4</f>
        <v>0.73252813065128286</v>
      </c>
      <c r="K4" s="34">
        <v>2379.4308055450615</v>
      </c>
      <c r="L4" s="6">
        <v>5799.8625885160909</v>
      </c>
    </row>
    <row r="5" spans="1:12" ht="14.25">
      <c r="A5" s="4" t="s">
        <v>17</v>
      </c>
      <c r="B5" s="5" t="s">
        <v>18</v>
      </c>
      <c r="C5" s="11"/>
      <c r="D5" s="11"/>
      <c r="E5" s="6">
        <v>2</v>
      </c>
      <c r="F5" s="7">
        <f>E5/L5</f>
        <v>2</v>
      </c>
      <c r="G5" s="38"/>
      <c r="H5" s="38"/>
      <c r="I5" s="38"/>
      <c r="J5" s="39"/>
      <c r="K5" s="34"/>
      <c r="L5" s="12">
        <v>1</v>
      </c>
    </row>
    <row r="6" spans="1:12" ht="14.25">
      <c r="A6" s="25" t="s">
        <v>48</v>
      </c>
      <c r="B6" s="5" t="s">
        <v>19</v>
      </c>
      <c r="C6" s="27">
        <f>63+31</f>
        <v>94</v>
      </c>
      <c r="D6" s="27">
        <f>127+45</f>
        <v>172</v>
      </c>
      <c r="E6" s="26">
        <f>SUM(C6:D6)</f>
        <v>266</v>
      </c>
      <c r="F6" s="7">
        <f>E6/L6</f>
        <v>0.28151356940269207</v>
      </c>
      <c r="G6" s="35">
        <v>774</v>
      </c>
      <c r="H6" s="35">
        <v>819</v>
      </c>
      <c r="I6" s="36">
        <f>SUM(G6:H6)</f>
        <v>1593</v>
      </c>
      <c r="J6" s="37">
        <f>I6/L6</f>
        <v>1.6859064513477009</v>
      </c>
      <c r="K6" s="34"/>
      <c r="L6" s="10">
        <v>944.8922855278048</v>
      </c>
    </row>
    <row r="7" spans="1:12" ht="14.25">
      <c r="A7" s="25" t="s">
        <v>48</v>
      </c>
      <c r="B7" s="5" t="s">
        <v>20</v>
      </c>
      <c r="C7" s="6">
        <v>0</v>
      </c>
      <c r="D7" s="6">
        <v>0</v>
      </c>
      <c r="E7" s="6">
        <v>0</v>
      </c>
      <c r="F7" s="7">
        <v>0</v>
      </c>
      <c r="G7" s="35">
        <v>0</v>
      </c>
      <c r="H7" s="35">
        <v>0</v>
      </c>
      <c r="I7" s="35">
        <v>0</v>
      </c>
      <c r="J7" s="37">
        <v>0</v>
      </c>
      <c r="K7" s="34"/>
      <c r="L7" s="10">
        <v>1259.8563807037397</v>
      </c>
    </row>
    <row r="8" spans="1:12" ht="14.25">
      <c r="A8" s="25" t="s">
        <v>48</v>
      </c>
      <c r="B8" s="5" t="s">
        <v>21</v>
      </c>
      <c r="C8" s="6">
        <v>0</v>
      </c>
      <c r="D8" s="6">
        <v>0</v>
      </c>
      <c r="E8" s="6">
        <v>0</v>
      </c>
      <c r="F8" s="7">
        <v>0</v>
      </c>
      <c r="G8" s="35">
        <v>215</v>
      </c>
      <c r="H8" s="35">
        <v>135</v>
      </c>
      <c r="I8" s="36">
        <f>SUM(G8:H8)</f>
        <v>350</v>
      </c>
      <c r="J8" s="37">
        <f>I8/L8</f>
        <v>0.55561888697899753</v>
      </c>
      <c r="K8" s="35"/>
      <c r="L8" s="10">
        <v>629.92819035186983</v>
      </c>
    </row>
    <row r="9" spans="1:12" ht="14.25">
      <c r="A9" s="4" t="s">
        <v>22</v>
      </c>
      <c r="B9" s="5" t="s">
        <v>16</v>
      </c>
      <c r="C9" s="28">
        <f>SUM(C6:C8)</f>
        <v>94</v>
      </c>
      <c r="D9" s="28">
        <f>SUM(D6:D8)</f>
        <v>172</v>
      </c>
      <c r="E9" s="28">
        <f>SUM(E6:E8)</f>
        <v>266</v>
      </c>
      <c r="F9" s="7">
        <f>E9/K9</f>
        <v>0.24129734520230717</v>
      </c>
      <c r="G9" s="36">
        <f>SUM(G6:G8)</f>
        <v>989</v>
      </c>
      <c r="H9" s="36">
        <f>SUM(H6:H8)</f>
        <v>954</v>
      </c>
      <c r="I9" s="36">
        <f>SUM(I6:I8)</f>
        <v>1943</v>
      </c>
      <c r="J9" s="37">
        <f>I9/K9</f>
        <v>1.7625591794288828</v>
      </c>
      <c r="K9" s="35">
        <v>1102.3743331157737</v>
      </c>
      <c r="L9" s="6">
        <v>2834.6768565834172</v>
      </c>
    </row>
    <row r="10" spans="1:12" ht="14.25">
      <c r="A10" s="4" t="s">
        <v>14</v>
      </c>
      <c r="B10" s="5" t="s">
        <v>23</v>
      </c>
      <c r="C10" s="41">
        <v>50</v>
      </c>
      <c r="D10" s="41">
        <v>85</v>
      </c>
      <c r="E10" s="29">
        <f>SUM(C10:D10)</f>
        <v>135</v>
      </c>
      <c r="F10" s="7">
        <f>E10/K10</f>
        <v>0.10044114471627096</v>
      </c>
      <c r="G10" s="35">
        <v>355</v>
      </c>
      <c r="H10" s="35">
        <v>445</v>
      </c>
      <c r="I10" s="36">
        <f>SUM(G10:H10)</f>
        <v>800</v>
      </c>
      <c r="J10" s="37">
        <f>I10/K10</f>
        <v>0.59520678350382783</v>
      </c>
      <c r="K10" s="35">
        <v>1344.0707031102831</v>
      </c>
      <c r="L10" s="10">
        <v>1344.0707031102831</v>
      </c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4" spans="1:12">
      <c r="A14" s="1"/>
    </row>
    <row r="15" spans="1:12">
      <c r="A15" s="1"/>
    </row>
    <row r="16" spans="1:12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3" ht="14.25">
      <c r="A17" s="16" t="s">
        <v>42</v>
      </c>
      <c r="B17" s="16">
        <v>19</v>
      </c>
      <c r="C17" s="17">
        <v>102.71470807999999</v>
      </c>
      <c r="D17" s="19">
        <f>C17/210</f>
        <v>0.48911765752380948</v>
      </c>
      <c r="E17" s="17">
        <v>9.8273609999999998</v>
      </c>
      <c r="F17" s="19">
        <f>E17/40</f>
        <v>0.245684025</v>
      </c>
      <c r="G17" s="17">
        <v>103.13005800000001</v>
      </c>
      <c r="H17" s="19">
        <f>G17/145</f>
        <v>0.71124177931034482</v>
      </c>
      <c r="I17" s="17">
        <f>C17+E17+G17</f>
        <v>215.67212708</v>
      </c>
      <c r="J17" s="19">
        <f>I17/394</f>
        <v>0.54739118548223353</v>
      </c>
      <c r="K17" s="17">
        <v>17.762578000000001</v>
      </c>
      <c r="L17" s="19">
        <f>K17/I17</f>
        <v>8.2359172881951812E-2</v>
      </c>
    </row>
    <row r="18" spans="1:13" ht="14.25">
      <c r="A18" s="16" t="s">
        <v>13</v>
      </c>
      <c r="B18" s="16">
        <v>5</v>
      </c>
      <c r="C18" s="17">
        <v>11.940927</v>
      </c>
      <c r="D18" s="18"/>
      <c r="E18" s="17">
        <v>7.0129250000000001</v>
      </c>
      <c r="F18" s="18"/>
      <c r="G18" s="17">
        <v>6.4035950000000001</v>
      </c>
      <c r="H18" s="18"/>
      <c r="I18" s="17">
        <f>C18+E18+G18</f>
        <v>25.357447000000001</v>
      </c>
      <c r="J18" s="18"/>
      <c r="K18" s="17">
        <f>1341754/1000000</f>
        <v>1.3417539999999999</v>
      </c>
      <c r="L18" s="19">
        <f>K18/I18</f>
        <v>5.2913607588334896E-2</v>
      </c>
    </row>
    <row r="19" spans="1:13" ht="14.25">
      <c r="A19" s="16" t="s">
        <v>18</v>
      </c>
      <c r="B19" s="16">
        <v>2</v>
      </c>
      <c r="C19" s="17">
        <v>2.4958200000000001</v>
      </c>
      <c r="D19" s="18"/>
      <c r="E19" s="17">
        <v>2.8144360000000002</v>
      </c>
      <c r="F19" s="18"/>
      <c r="G19" s="17">
        <v>0</v>
      </c>
      <c r="H19" s="18"/>
      <c r="I19" s="17">
        <f>C19+E19+G19</f>
        <v>5.3102560000000008</v>
      </c>
      <c r="J19" s="18"/>
      <c r="K19" s="17">
        <f>877417/1000000</f>
        <v>0.877417</v>
      </c>
      <c r="L19" s="19">
        <f>K19/I19</f>
        <v>0.16523064048136282</v>
      </c>
    </row>
    <row r="20" spans="1:13" ht="14.25">
      <c r="A20" s="16" t="s">
        <v>33</v>
      </c>
      <c r="B20" s="16">
        <v>7</v>
      </c>
      <c r="C20" s="17">
        <f>SUM(C18:C19)</f>
        <v>14.436747</v>
      </c>
      <c r="D20" s="19">
        <f>C20/44</f>
        <v>0.32810788636363636</v>
      </c>
      <c r="E20" s="17">
        <v>9.8273609999999998</v>
      </c>
      <c r="F20" s="19">
        <f>E20/23</f>
        <v>0.42727656521739127</v>
      </c>
      <c r="G20" s="17">
        <v>6.4035950000000001</v>
      </c>
      <c r="H20" s="19">
        <f>G20/21</f>
        <v>0.30493309523809525</v>
      </c>
      <c r="I20" s="17">
        <f>C20+E20+G20</f>
        <v>30.667702999999999</v>
      </c>
      <c r="J20" s="19">
        <f>I20/88</f>
        <v>0.348496625</v>
      </c>
      <c r="K20" s="17">
        <f>2219172/1000000</f>
        <v>2.2191719999999999</v>
      </c>
      <c r="L20" s="19">
        <f>K20/I20</f>
        <v>7.2361858988917421E-2</v>
      </c>
      <c r="M20" s="22"/>
    </row>
    <row r="21" spans="1:13" ht="14.25">
      <c r="A21" s="16" t="s">
        <v>19</v>
      </c>
      <c r="B21" s="16">
        <v>4</v>
      </c>
      <c r="C21" s="17">
        <v>42.962930999999998</v>
      </c>
      <c r="D21" s="18"/>
      <c r="E21" s="17">
        <v>0</v>
      </c>
      <c r="F21" s="18"/>
      <c r="G21" s="17">
        <v>48.517508999999997</v>
      </c>
      <c r="H21" s="18"/>
      <c r="I21" s="17">
        <f>C21+G21</f>
        <v>91.480439999999987</v>
      </c>
      <c r="J21" s="18"/>
      <c r="K21" s="17">
        <f>8399277/1000000</f>
        <v>8.3992769999999997</v>
      </c>
      <c r="L21" s="19">
        <f>K21/I21</f>
        <v>9.1815004387823237E-2</v>
      </c>
    </row>
    <row r="22" spans="1:13" ht="14.25">
      <c r="A22" s="16" t="s">
        <v>20</v>
      </c>
      <c r="B22" s="16">
        <v>0</v>
      </c>
      <c r="C22" s="17">
        <v>0</v>
      </c>
      <c r="D22" s="18"/>
      <c r="E22" s="17">
        <v>0</v>
      </c>
      <c r="F22" s="18"/>
      <c r="G22" s="17">
        <v>0</v>
      </c>
      <c r="H22" s="18"/>
      <c r="I22" s="17">
        <v>0</v>
      </c>
      <c r="J22" s="18"/>
      <c r="K22" s="18"/>
      <c r="L22" s="18"/>
    </row>
    <row r="23" spans="1:13" ht="14.25">
      <c r="A23" s="16" t="s">
        <v>34</v>
      </c>
      <c r="B23" s="16">
        <f>SUM(B21:B22)</f>
        <v>4</v>
      </c>
      <c r="C23" s="17">
        <f>SUM(C21:C22)</f>
        <v>42.962930999999998</v>
      </c>
      <c r="D23" s="19">
        <f>'[1]Total ram'!$K$20</f>
        <v>0.53094863365107647</v>
      </c>
      <c r="E23" s="17">
        <v>0</v>
      </c>
      <c r="F23" s="18"/>
      <c r="G23" s="17">
        <f>48517509/1000000</f>
        <v>48.517508999999997</v>
      </c>
      <c r="H23" s="18"/>
      <c r="I23" s="17">
        <f>C23+E23+G23</f>
        <v>91.480439999999987</v>
      </c>
      <c r="J23" s="18"/>
      <c r="K23" s="17">
        <f>8399277/1000000</f>
        <v>8.3992769999999997</v>
      </c>
      <c r="L23" s="19">
        <f>K23/I23</f>
        <v>9.1815004387823237E-2</v>
      </c>
    </row>
    <row r="24" spans="1:13" ht="14.25">
      <c r="A24" s="16" t="s">
        <v>21</v>
      </c>
      <c r="B24" s="16">
        <v>2</v>
      </c>
      <c r="C24" s="17">
        <v>22.673055999999999</v>
      </c>
      <c r="D24" s="19">
        <v>0.65</v>
      </c>
      <c r="E24" s="17">
        <v>0</v>
      </c>
      <c r="F24" s="18"/>
      <c r="G24" s="17">
        <v>25.661303</v>
      </c>
      <c r="H24" s="18"/>
      <c r="I24" s="17">
        <f>C24+E24+G24</f>
        <v>48.334358999999999</v>
      </c>
      <c r="J24" s="18"/>
      <c r="K24" s="17">
        <f>770435/1000000</f>
        <v>0.77043499999999998</v>
      </c>
      <c r="L24" s="19">
        <f>K24/I24</f>
        <v>1.5939696231411695E-2</v>
      </c>
    </row>
    <row r="25" spans="1:13" ht="14.25">
      <c r="A25" s="16" t="s">
        <v>35</v>
      </c>
      <c r="B25" s="16">
        <f>SUM(B23:B24)</f>
        <v>6</v>
      </c>
      <c r="C25" s="17">
        <v>65.635987</v>
      </c>
      <c r="D25" s="19">
        <f>C25/116</f>
        <v>0.565827474137931</v>
      </c>
      <c r="E25" s="17">
        <v>0</v>
      </c>
      <c r="F25" s="19">
        <v>0</v>
      </c>
      <c r="G25" s="17">
        <v>74.178811999999994</v>
      </c>
      <c r="H25" s="19">
        <f>G25/99</f>
        <v>0.74928092929292922</v>
      </c>
      <c r="I25" s="17">
        <f>C25+E25+G25</f>
        <v>139.81479899999999</v>
      </c>
      <c r="J25" s="19">
        <f>I25/232</f>
        <v>0.60264999568965516</v>
      </c>
      <c r="K25" s="17">
        <f>9169712/1000000</f>
        <v>9.1697120000000005</v>
      </c>
      <c r="L25" s="19">
        <f>K25/I25</f>
        <v>6.5584702517792845E-2</v>
      </c>
    </row>
    <row r="26" spans="1:13" ht="14.25">
      <c r="A26" s="16" t="s">
        <v>23</v>
      </c>
      <c r="B26" s="16">
        <v>6</v>
      </c>
      <c r="C26" s="17">
        <v>45.283948000000002</v>
      </c>
      <c r="D26" s="19">
        <v>0.90928640085350099</v>
      </c>
      <c r="E26" s="18"/>
      <c r="F26" s="18"/>
      <c r="G26" s="17">
        <v>22.547650999999998</v>
      </c>
      <c r="H26" s="19">
        <f>G26/25</f>
        <v>0.90190603999999996</v>
      </c>
      <c r="I26" s="17">
        <f>C26+E26+G26</f>
        <v>67.831598999999997</v>
      </c>
      <c r="J26" s="19">
        <f>I26/75</f>
        <v>0.90442131999999997</v>
      </c>
      <c r="K26" s="17">
        <f>6373695/1000000</f>
        <v>6.3736949999999997</v>
      </c>
      <c r="L26" s="19">
        <f>K26/I26</f>
        <v>9.3963508069447102E-2</v>
      </c>
    </row>
    <row r="27" spans="1:13" ht="13.15">
      <c r="A27" s="15" t="s">
        <v>45</v>
      </c>
    </row>
    <row r="28" spans="1:13" ht="39.4">
      <c r="A28" s="23" t="s">
        <v>47</v>
      </c>
      <c r="B28" s="24">
        <v>0</v>
      </c>
      <c r="C28" s="22"/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C2" sqref="C2:D2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41">
        <v>172</v>
      </c>
      <c r="D2" s="41">
        <v>190</v>
      </c>
      <c r="E2" s="28">
        <f>SUM(C2:D2)</f>
        <v>362</v>
      </c>
      <c r="F2" s="7">
        <f>E2/L2</f>
        <v>2.9092779304130269E-2</v>
      </c>
      <c r="G2" s="8"/>
      <c r="H2" s="8"/>
      <c r="I2" s="8"/>
      <c r="J2" s="8"/>
      <c r="K2" s="9"/>
      <c r="L2" s="10">
        <v>12442.9500604161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327.44605422147589</v>
      </c>
    </row>
    <row r="4" spans="1:12" ht="14.25">
      <c r="A4" s="4" t="s">
        <v>15</v>
      </c>
      <c r="B4" s="5" t="s">
        <v>16</v>
      </c>
      <c r="C4" s="28">
        <f>SUM(C2:C3)</f>
        <v>172</v>
      </c>
      <c r="D4" s="28">
        <f>SUM(D2:D3)</f>
        <v>190</v>
      </c>
      <c r="E4" s="28">
        <f>SUM(E2:E3)</f>
        <v>362</v>
      </c>
      <c r="F4" s="7">
        <f>E4/K4</f>
        <v>6.9095350847309403E-2</v>
      </c>
      <c r="G4" s="36">
        <f>1836</f>
        <v>1836</v>
      </c>
      <c r="H4" s="36">
        <f>1001</f>
        <v>1001</v>
      </c>
      <c r="I4" s="36">
        <f>2837</f>
        <v>2837</v>
      </c>
      <c r="J4" s="37">
        <f>I4/K4</f>
        <v>0.54150140981717343</v>
      </c>
      <c r="K4" s="34">
        <v>5239.1368675436197</v>
      </c>
      <c r="L4" s="6">
        <v>12770.39611463758</v>
      </c>
    </row>
    <row r="5" spans="1:12" ht="14.25">
      <c r="A5" s="4" t="s">
        <v>17</v>
      </c>
      <c r="B5" s="5" t="s">
        <v>18</v>
      </c>
      <c r="C5" s="11"/>
      <c r="D5" s="11"/>
      <c r="E5" s="6">
        <v>0</v>
      </c>
      <c r="F5" s="7">
        <f>E5/L5</f>
        <v>0</v>
      </c>
      <c r="G5" s="33"/>
      <c r="H5" s="33"/>
      <c r="I5" s="33"/>
      <c r="J5" s="37"/>
      <c r="K5" s="34"/>
      <c r="L5" s="12">
        <v>3</v>
      </c>
    </row>
    <row r="6" spans="1:12" ht="14.25">
      <c r="A6" s="25" t="s">
        <v>48</v>
      </c>
      <c r="B6" s="5" t="s">
        <v>19</v>
      </c>
      <c r="C6" s="6">
        <f>5+3</f>
        <v>8</v>
      </c>
      <c r="D6" s="6">
        <f>3+3</f>
        <v>6</v>
      </c>
      <c r="E6" s="29">
        <f>SUM(C6:D6)</f>
        <v>14</v>
      </c>
      <c r="F6" s="7">
        <f>E6/L6</f>
        <v>6.1194009542763972E-3</v>
      </c>
      <c r="G6" s="35">
        <v>700</v>
      </c>
      <c r="H6" s="35">
        <v>840</v>
      </c>
      <c r="I6" s="36">
        <f>SUM(G6:H6)</f>
        <v>1540</v>
      </c>
      <c r="J6" s="37">
        <f>I6/L6</f>
        <v>0.67313410497040371</v>
      </c>
      <c r="K6" s="34"/>
      <c r="L6" s="10">
        <v>2287.8056372848773</v>
      </c>
    </row>
    <row r="7" spans="1:12" ht="14.25">
      <c r="A7" s="25" t="s">
        <v>48</v>
      </c>
      <c r="B7" s="5" t="s">
        <v>20</v>
      </c>
      <c r="C7" s="6">
        <v>0</v>
      </c>
      <c r="D7" s="6">
        <v>0</v>
      </c>
      <c r="E7" s="6">
        <v>0</v>
      </c>
      <c r="F7" s="7">
        <v>0</v>
      </c>
      <c r="G7" s="35">
        <v>0</v>
      </c>
      <c r="H7" s="35">
        <v>0</v>
      </c>
      <c r="I7" s="35">
        <v>0</v>
      </c>
      <c r="J7" s="37">
        <v>0</v>
      </c>
      <c r="K7" s="34"/>
      <c r="L7" s="10">
        <v>3050.4075163798366</v>
      </c>
    </row>
    <row r="8" spans="1:12" ht="14.25">
      <c r="A8" s="25" t="s">
        <v>48</v>
      </c>
      <c r="B8" s="5" t="s">
        <v>21</v>
      </c>
      <c r="C8" s="27">
        <f>77+31</f>
        <v>108</v>
      </c>
      <c r="D8" s="27">
        <f>55+36</f>
        <v>91</v>
      </c>
      <c r="E8" s="28">
        <f>SUM(C8:D8)</f>
        <v>199</v>
      </c>
      <c r="F8" s="7">
        <f>E8/L8</f>
        <v>0.13047437034653603</v>
      </c>
      <c r="G8" s="35">
        <v>759</v>
      </c>
      <c r="H8" s="35">
        <v>550</v>
      </c>
      <c r="I8" s="36">
        <f>SUM(G8:H8)</f>
        <v>1309</v>
      </c>
      <c r="J8" s="37">
        <f>I8/L8</f>
        <v>0.85824598383726469</v>
      </c>
      <c r="K8" s="35"/>
      <c r="L8" s="10">
        <v>1525.2037581899183</v>
      </c>
    </row>
    <row r="9" spans="1:12" ht="14.25">
      <c r="A9" s="4" t="s">
        <v>22</v>
      </c>
      <c r="B9" s="5" t="s">
        <v>16</v>
      </c>
      <c r="C9" s="28">
        <f>SUM(C6:C8)</f>
        <v>116</v>
      </c>
      <c r="D9" s="28">
        <f>SUM(D6:D8)</f>
        <v>97</v>
      </c>
      <c r="E9" s="28">
        <f>SUM(E6:E8)</f>
        <v>213</v>
      </c>
      <c r="F9" s="7">
        <f>E9/K9</f>
        <v>7.9801983873114546E-2</v>
      </c>
      <c r="G9" s="36">
        <f>SUM(G6:G8)</f>
        <v>1459</v>
      </c>
      <c r="H9" s="36">
        <f>SUM(H6:H8)</f>
        <v>1390</v>
      </c>
      <c r="I9" s="36">
        <f>SUM(I6:I8)</f>
        <v>2849</v>
      </c>
      <c r="J9" s="37">
        <f>I9/K9</f>
        <v>1.0673983664530673</v>
      </c>
      <c r="K9" s="35">
        <v>2669.1065768323606</v>
      </c>
      <c r="L9" s="6">
        <v>6863.4169118546397</v>
      </c>
    </row>
    <row r="10" spans="1:12" ht="14.25">
      <c r="A10" s="4" t="s">
        <v>14</v>
      </c>
      <c r="B10" s="5" t="s">
        <v>23</v>
      </c>
      <c r="C10" s="41">
        <v>158</v>
      </c>
      <c r="D10" s="41">
        <v>254</v>
      </c>
      <c r="E10" s="29">
        <f>SUM(C10:D10)</f>
        <v>412</v>
      </c>
      <c r="F10" s="7">
        <f>E10/K10</f>
        <v>0.12094734556917665</v>
      </c>
      <c r="G10" s="35">
        <v>1325</v>
      </c>
      <c r="H10" s="35">
        <v>1725</v>
      </c>
      <c r="I10" s="36">
        <f>SUM(G10:H10)</f>
        <v>3050</v>
      </c>
      <c r="J10" s="37">
        <f>I10/K10</f>
        <v>0.89536263103395342</v>
      </c>
      <c r="K10" s="35">
        <v>3406.4410265569145</v>
      </c>
      <c r="L10" s="10">
        <v>3406.4410265569145</v>
      </c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5" spans="1:12" ht="63.75">
      <c r="A15" s="25" t="s">
        <v>51</v>
      </c>
      <c r="B15" s="20" t="s">
        <v>17</v>
      </c>
      <c r="C15" s="20" t="s">
        <v>26</v>
      </c>
      <c r="D15" s="20" t="s">
        <v>27</v>
      </c>
      <c r="E15" s="21" t="s">
        <v>30</v>
      </c>
      <c r="F15" s="20" t="s">
        <v>27</v>
      </c>
      <c r="G15" s="21" t="s">
        <v>31</v>
      </c>
      <c r="H15" s="20" t="s">
        <v>27</v>
      </c>
      <c r="I15" s="20" t="s">
        <v>28</v>
      </c>
      <c r="J15" s="20" t="s">
        <v>29</v>
      </c>
      <c r="K15" s="21" t="s">
        <v>44</v>
      </c>
      <c r="L15" s="21" t="s">
        <v>46</v>
      </c>
    </row>
    <row r="16" spans="1:12" ht="14.25">
      <c r="A16" s="16" t="s">
        <v>41</v>
      </c>
      <c r="B16" s="16">
        <v>21</v>
      </c>
      <c r="C16" s="17">
        <f>224505284/1000000</f>
        <v>224.50528399999999</v>
      </c>
      <c r="D16" s="19">
        <f>C16/510</f>
        <v>0.44020643921568625</v>
      </c>
      <c r="E16" s="17">
        <v>8.3632930000000005</v>
      </c>
      <c r="F16" s="19">
        <f>E16/92</f>
        <v>9.090535869565218E-2</v>
      </c>
      <c r="G16" s="17">
        <v>238.268497</v>
      </c>
      <c r="H16" s="19">
        <f>G16/365</f>
        <v>0.65279040273972599</v>
      </c>
      <c r="I16" s="17">
        <f>C16+E16+G16</f>
        <v>471.13707399999998</v>
      </c>
      <c r="J16" s="19">
        <f>I16/941</f>
        <v>0.50067701806588738</v>
      </c>
      <c r="K16" s="17">
        <v>23.322232</v>
      </c>
      <c r="L16" s="19">
        <f>K16/I16</f>
        <v>4.9502009684765334E-2</v>
      </c>
    </row>
    <row r="17" spans="1:12" ht="14.25">
      <c r="A17" s="16" t="s">
        <v>13</v>
      </c>
      <c r="B17" s="16">
        <v>4</v>
      </c>
      <c r="C17" s="17">
        <v>27.891380000000002</v>
      </c>
      <c r="D17" s="18"/>
      <c r="E17" s="17">
        <v>8.3632930000000005</v>
      </c>
      <c r="F17" s="18"/>
      <c r="G17" s="17">
        <v>23.064326999999999</v>
      </c>
      <c r="H17" s="18"/>
      <c r="I17" s="17">
        <f>C17+E17+G17</f>
        <v>59.319000000000003</v>
      </c>
      <c r="J17" s="18"/>
      <c r="K17" s="17">
        <v>3.551609</v>
      </c>
      <c r="L17" s="19">
        <f>K17/I17</f>
        <v>5.9873042364166622E-2</v>
      </c>
    </row>
    <row r="18" spans="1:12" ht="14.25">
      <c r="A18" s="16" t="s">
        <v>18</v>
      </c>
      <c r="B18" s="16">
        <v>0</v>
      </c>
      <c r="C18" s="17">
        <v>0</v>
      </c>
      <c r="D18" s="18"/>
      <c r="E18" s="17">
        <v>0</v>
      </c>
      <c r="F18" s="18"/>
      <c r="G18" s="17">
        <v>0</v>
      </c>
      <c r="H18" s="18"/>
      <c r="I18" s="17">
        <v>0</v>
      </c>
      <c r="J18" s="18"/>
      <c r="K18" s="18"/>
      <c r="L18" s="18"/>
    </row>
    <row r="19" spans="1:12" ht="14.25">
      <c r="A19" s="16" t="s">
        <v>33</v>
      </c>
      <c r="B19" s="16">
        <f>SUM(B17:B18)</f>
        <v>4</v>
      </c>
      <c r="C19" s="17">
        <f>SUM(C17:C18)</f>
        <v>27.891380000000002</v>
      </c>
      <c r="D19" s="19">
        <f>C19/97</f>
        <v>0.28754000000000002</v>
      </c>
      <c r="E19" s="17">
        <f>SUM(E17:E18)</f>
        <v>8.3632930000000005</v>
      </c>
      <c r="F19" s="19">
        <f>E19/50</f>
        <v>0.16726586000000002</v>
      </c>
      <c r="G19" s="17">
        <v>23.064326999999999</v>
      </c>
      <c r="H19" s="19">
        <f>G19/47</f>
        <v>0.49073036170212764</v>
      </c>
      <c r="I19" s="17">
        <f>C19+E19+G19</f>
        <v>59.319000000000003</v>
      </c>
      <c r="J19" s="19">
        <f>I19/194</f>
        <v>0.30576804123711343</v>
      </c>
      <c r="K19" s="17">
        <v>3.551609</v>
      </c>
      <c r="L19" s="19">
        <f>K19/I19</f>
        <v>5.9873042364166622E-2</v>
      </c>
    </row>
    <row r="20" spans="1:12" ht="14.25">
      <c r="A20" s="16" t="s">
        <v>19</v>
      </c>
      <c r="B20" s="16">
        <v>4</v>
      </c>
      <c r="C20" s="17">
        <v>53.314832000000003</v>
      </c>
      <c r="D20" s="18"/>
      <c r="E20" s="17">
        <v>0</v>
      </c>
      <c r="F20" s="18"/>
      <c r="G20" s="17">
        <v>60.889415999999997</v>
      </c>
      <c r="H20" s="18"/>
      <c r="I20" s="17">
        <f>C20+E20+G20</f>
        <v>114.20424800000001</v>
      </c>
      <c r="J20" s="18"/>
      <c r="K20" s="17">
        <v>1.4127879999999999</v>
      </c>
      <c r="L20" s="19">
        <f>K20/I20</f>
        <v>1.2370713215501405E-2</v>
      </c>
    </row>
    <row r="21" spans="1:12" ht="14.25">
      <c r="A21" s="16" t="s">
        <v>20</v>
      </c>
      <c r="B21" s="16">
        <v>0</v>
      </c>
      <c r="C21" s="17">
        <v>0</v>
      </c>
      <c r="D21" s="18"/>
      <c r="E21" s="17">
        <v>0</v>
      </c>
      <c r="F21" s="18"/>
      <c r="G21" s="17">
        <v>0</v>
      </c>
      <c r="H21" s="18"/>
      <c r="I21" s="17">
        <v>0</v>
      </c>
      <c r="J21" s="18"/>
      <c r="K21" s="18"/>
      <c r="L21" s="18"/>
    </row>
    <row r="22" spans="1:12" ht="14.25">
      <c r="A22" s="16" t="s">
        <v>34</v>
      </c>
      <c r="B22" s="16">
        <f>SUM(B20:B21)</f>
        <v>4</v>
      </c>
      <c r="C22" s="17">
        <f>SUM(C20:C21)</f>
        <v>53.314832000000003</v>
      </c>
      <c r="D22" s="19">
        <f>'[1]Total ram'!$K$21</f>
        <v>0.26543560891122753</v>
      </c>
      <c r="E22" s="17">
        <v>0</v>
      </c>
      <c r="F22" s="18"/>
      <c r="G22" s="17">
        <v>60.889415999999997</v>
      </c>
      <c r="H22" s="18"/>
      <c r="I22" s="17">
        <f>C22+E22+G22</f>
        <v>114.20424800000001</v>
      </c>
      <c r="J22" s="18"/>
      <c r="K22" s="17">
        <v>1.4127879999999999</v>
      </c>
      <c r="L22" s="19">
        <f>K22/I22</f>
        <v>1.2370713215501405E-2</v>
      </c>
    </row>
    <row r="23" spans="1:12" ht="14.25">
      <c r="A23" s="16" t="s">
        <v>21</v>
      </c>
      <c r="B23" s="16">
        <v>8</v>
      </c>
      <c r="C23" s="17">
        <v>84.239259000000004</v>
      </c>
      <c r="D23" s="19">
        <v>0.98</v>
      </c>
      <c r="E23" s="17">
        <v>0</v>
      </c>
      <c r="F23" s="18"/>
      <c r="G23" s="17">
        <v>95.496179999999995</v>
      </c>
      <c r="H23" s="18"/>
      <c r="I23" s="17">
        <f>C23+E23+G23</f>
        <v>179.73543899999999</v>
      </c>
      <c r="J23" s="18"/>
      <c r="K23" s="17">
        <f>5071439/1000000</f>
        <v>5.0714389999999998</v>
      </c>
      <c r="L23" s="19">
        <f>K23/I23</f>
        <v>2.8216132712703366E-2</v>
      </c>
    </row>
    <row r="24" spans="1:12" ht="14.25">
      <c r="A24" s="16" t="s">
        <v>35</v>
      </c>
      <c r="B24" s="16">
        <f>SUM(B22:B23)</f>
        <v>12</v>
      </c>
      <c r="C24" s="17">
        <f>SUM(C22:C23)</f>
        <v>137.554091</v>
      </c>
      <c r="D24" s="19">
        <v>0.48998122406580352</v>
      </c>
      <c r="E24" s="17">
        <v>0</v>
      </c>
      <c r="F24" s="19">
        <v>0</v>
      </c>
      <c r="G24" s="17">
        <v>156.38559599999999</v>
      </c>
      <c r="H24" s="19">
        <f>G24/245</f>
        <v>0.63830855510204076</v>
      </c>
      <c r="I24" s="17">
        <f>C24+E24+G24</f>
        <v>293.93968699999999</v>
      </c>
      <c r="J24" s="19">
        <f>I24/574</f>
        <v>0.5120900470383275</v>
      </c>
      <c r="K24" s="17">
        <v>6.4842269999999997</v>
      </c>
      <c r="L24" s="19">
        <f>K24/I24</f>
        <v>2.2059719346438578E-2</v>
      </c>
    </row>
    <row r="25" spans="1:12" ht="14.25">
      <c r="A25" s="16" t="s">
        <v>23</v>
      </c>
      <c r="B25" s="16">
        <v>5</v>
      </c>
      <c r="C25" s="17">
        <v>118.289625</v>
      </c>
      <c r="D25" s="19">
        <v>0.93718279690167727</v>
      </c>
      <c r="E25" s="18"/>
      <c r="F25" s="18"/>
      <c r="G25" s="17">
        <v>58.818573999999998</v>
      </c>
      <c r="H25" s="19">
        <f>G25/63</f>
        <v>0.9336281587301587</v>
      </c>
      <c r="I25" s="17">
        <f>C25+E25+G25</f>
        <v>177.10819900000001</v>
      </c>
      <c r="J25" s="19">
        <f>I25/189</f>
        <v>0.9370804179894181</v>
      </c>
      <c r="K25" s="17">
        <v>13.286396999999999</v>
      </c>
      <c r="L25" s="19">
        <f>K25/I25</f>
        <v>7.5018531468438676E-2</v>
      </c>
    </row>
    <row r="26" spans="1:12" ht="13.15">
      <c r="A26" s="15" t="s">
        <v>45</v>
      </c>
    </row>
    <row r="27" spans="1:12" ht="39.4">
      <c r="A27" s="23" t="s">
        <v>47</v>
      </c>
      <c r="B27" s="24">
        <v>0</v>
      </c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&amp;L&amp;D&amp;C&amp;A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E27" sqref="E27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.132812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6">
        <v>6</v>
      </c>
      <c r="D2" s="6">
        <v>43</v>
      </c>
      <c r="E2" s="28">
        <f>SUM(C2:D2)</f>
        <v>49</v>
      </c>
      <c r="F2" s="7">
        <f>E2/L2</f>
        <v>3.6899851422137878E-3</v>
      </c>
      <c r="G2" s="8"/>
      <c r="H2" s="8"/>
      <c r="I2" s="8"/>
      <c r="J2" s="8"/>
      <c r="K2" s="9"/>
      <c r="L2" s="10">
        <v>13279.186259975751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349.45226999936142</v>
      </c>
    </row>
    <row r="4" spans="1:12" ht="14.25">
      <c r="A4" s="4" t="s">
        <v>15</v>
      </c>
      <c r="B4" s="5" t="s">
        <v>16</v>
      </c>
      <c r="C4" s="28">
        <f>SUM(C2:C3)</f>
        <v>6</v>
      </c>
      <c r="D4" s="28">
        <f>SUM(D2:D3)</f>
        <v>43</v>
      </c>
      <c r="E4" s="28">
        <f>SUM(E2:E3)</f>
        <v>49</v>
      </c>
      <c r="F4" s="7">
        <f>E4/K4</f>
        <v>8.7637147127577475E-3</v>
      </c>
      <c r="G4" s="36">
        <f>2898</f>
        <v>2898</v>
      </c>
      <c r="H4" s="36">
        <f>1917</f>
        <v>1917</v>
      </c>
      <c r="I4" s="36">
        <f>4815</f>
        <v>4815</v>
      </c>
      <c r="J4" s="37">
        <f>I4/K4</f>
        <v>0.86116910901895005</v>
      </c>
      <c r="K4" s="34">
        <v>5591.2363199897891</v>
      </c>
      <c r="L4" s="6">
        <v>13628.638529975118</v>
      </c>
    </row>
    <row r="5" spans="1:12" ht="14.25">
      <c r="A5" s="4" t="s">
        <v>17</v>
      </c>
      <c r="B5" s="5" t="s">
        <v>18</v>
      </c>
      <c r="C5" s="11"/>
      <c r="D5" s="11"/>
      <c r="E5" s="6">
        <v>6</v>
      </c>
      <c r="F5" s="7">
        <f>E5/L5</f>
        <v>1.5</v>
      </c>
      <c r="G5" s="33"/>
      <c r="H5" s="33"/>
      <c r="I5" s="33"/>
      <c r="J5" s="37"/>
      <c r="K5" s="34"/>
      <c r="L5" s="12">
        <v>4</v>
      </c>
    </row>
    <row r="6" spans="1:12" ht="14.25">
      <c r="A6" s="25" t="s">
        <v>48</v>
      </c>
      <c r="B6" s="5" t="s">
        <v>19</v>
      </c>
      <c r="C6" s="27">
        <f>66+7</f>
        <v>73</v>
      </c>
      <c r="D6" s="27">
        <f>116+26</f>
        <v>142</v>
      </c>
      <c r="E6" s="26">
        <f>SUM(C6:D6)</f>
        <v>215</v>
      </c>
      <c r="F6" s="7">
        <f>E6/L6</f>
        <v>0.11281709934943053</v>
      </c>
      <c r="G6" s="35">
        <v>395</v>
      </c>
      <c r="H6" s="35">
        <v>300</v>
      </c>
      <c r="I6" s="36">
        <f>SUM(G6:H6)</f>
        <v>695</v>
      </c>
      <c r="J6" s="37">
        <f>I6/L6</f>
        <v>0.36468783278071726</v>
      </c>
      <c r="K6" s="34"/>
      <c r="L6" s="10">
        <v>1905.7394777902989</v>
      </c>
    </row>
    <row r="7" spans="1:12" ht="14.25">
      <c r="A7" s="25" t="s">
        <v>48</v>
      </c>
      <c r="B7" s="5" t="s">
        <v>20</v>
      </c>
      <c r="C7" s="6">
        <v>0</v>
      </c>
      <c r="D7" s="6">
        <v>0</v>
      </c>
      <c r="E7" s="6">
        <v>0</v>
      </c>
      <c r="F7" s="7">
        <v>0</v>
      </c>
      <c r="G7" s="35">
        <v>0</v>
      </c>
      <c r="H7" s="35">
        <v>0</v>
      </c>
      <c r="I7" s="35">
        <v>0</v>
      </c>
      <c r="J7" s="37">
        <v>0</v>
      </c>
      <c r="K7" s="34"/>
      <c r="L7" s="10">
        <v>2540.9859703870652</v>
      </c>
    </row>
    <row r="8" spans="1:12" ht="14.25">
      <c r="A8" s="25" t="s">
        <v>48</v>
      </c>
      <c r="B8" s="5" t="s">
        <v>21</v>
      </c>
      <c r="C8" s="27">
        <f>19+5</f>
        <v>24</v>
      </c>
      <c r="D8" s="27">
        <f>6+3</f>
        <v>9</v>
      </c>
      <c r="E8" s="28">
        <f>SUM(C8:D8)</f>
        <v>33</v>
      </c>
      <c r="F8" s="7">
        <f>E8/L8</f>
        <v>2.5974169385101446E-2</v>
      </c>
      <c r="G8" s="35">
        <v>256</v>
      </c>
      <c r="H8" s="35">
        <v>231</v>
      </c>
      <c r="I8" s="36">
        <f>SUM(G8:H8)</f>
        <v>487</v>
      </c>
      <c r="J8" s="37">
        <f>I8/L8</f>
        <v>0.38331577244073956</v>
      </c>
      <c r="K8" s="35"/>
      <c r="L8" s="10">
        <v>1270.4929851935326</v>
      </c>
    </row>
    <row r="9" spans="1:12" ht="14.25">
      <c r="A9" s="4" t="s">
        <v>22</v>
      </c>
      <c r="B9" s="5" t="s">
        <v>16</v>
      </c>
      <c r="C9" s="28">
        <f>SUM(C6:C8)</f>
        <v>97</v>
      </c>
      <c r="D9" s="28">
        <f>SUM(D6:D8)</f>
        <v>151</v>
      </c>
      <c r="E9" s="28">
        <f>SUM(E6:E8)</f>
        <v>248</v>
      </c>
      <c r="F9" s="7">
        <f>E9/K9</f>
        <v>0.11154275337671256</v>
      </c>
      <c r="G9" s="36">
        <f>SUM(G6:G8)</f>
        <v>651</v>
      </c>
      <c r="H9" s="36">
        <f>SUM(H6:H8)</f>
        <v>531</v>
      </c>
      <c r="I9" s="36">
        <f>SUM(I6:I8)</f>
        <v>1182</v>
      </c>
      <c r="J9" s="37">
        <f>I9/K9</f>
        <v>0.53162715520675097</v>
      </c>
      <c r="K9" s="35">
        <v>2223.3627240886849</v>
      </c>
      <c r="L9" s="6">
        <v>5717.2184333709029</v>
      </c>
    </row>
    <row r="10" spans="1:12" ht="14.25">
      <c r="A10" s="4" t="s">
        <v>14</v>
      </c>
      <c r="B10" s="5" t="s">
        <v>23</v>
      </c>
      <c r="C10" s="11"/>
      <c r="D10" s="11"/>
      <c r="E10" s="11"/>
      <c r="F10" s="13"/>
      <c r="G10" s="35"/>
      <c r="H10" s="35"/>
      <c r="I10" s="35"/>
      <c r="J10" s="37"/>
      <c r="K10" s="35"/>
      <c r="L10" s="11"/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6" spans="1:12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2" ht="14.25">
      <c r="A17" s="16" t="s">
        <v>39</v>
      </c>
      <c r="B17" s="16">
        <v>23</v>
      </c>
      <c r="C17" s="17">
        <v>114.206506</v>
      </c>
      <c r="D17" s="19">
        <f>C17/338</f>
        <v>0.3378890710059172</v>
      </c>
      <c r="E17" s="17">
        <v>19.806421</v>
      </c>
      <c r="F17" s="19">
        <f>E17/88</f>
        <v>0.2250729659090909</v>
      </c>
      <c r="G17" s="17">
        <v>110.063346</v>
      </c>
      <c r="H17" s="19">
        <f>G17/250</f>
        <v>0.44025338399999997</v>
      </c>
      <c r="I17" s="17">
        <f>C17+E17+G17</f>
        <v>244.07627299999999</v>
      </c>
      <c r="J17" s="19">
        <f>I17/338</f>
        <v>0.72211915088757395</v>
      </c>
      <c r="K17" s="17">
        <v>5.7189410000000001</v>
      </c>
      <c r="L17" s="19">
        <f>K17/I17</f>
        <v>2.3430958403728167E-2</v>
      </c>
    </row>
    <row r="18" spans="1:12" ht="14.25">
      <c r="A18" s="16" t="s">
        <v>13</v>
      </c>
      <c r="B18" s="16">
        <v>6</v>
      </c>
      <c r="C18" s="17">
        <v>33.019643000000002</v>
      </c>
      <c r="D18" s="18"/>
      <c r="E18" s="17">
        <v>3.0064030000000002</v>
      </c>
      <c r="F18" s="18"/>
      <c r="G18" s="17">
        <v>34.497616999999998</v>
      </c>
      <c r="H18" s="18"/>
      <c r="I18" s="17">
        <f>C18+E18+G18</f>
        <v>70.523662999999999</v>
      </c>
      <c r="J18" s="18"/>
      <c r="K18" s="17">
        <v>0.62652799999999997</v>
      </c>
      <c r="L18" s="19">
        <f>K18/I18</f>
        <v>8.8839401322645412E-3</v>
      </c>
    </row>
    <row r="19" spans="1:12" ht="14.25">
      <c r="A19" s="16" t="s">
        <v>18</v>
      </c>
      <c r="B19" s="16">
        <v>6</v>
      </c>
      <c r="C19" s="17">
        <v>3.5808810000000002</v>
      </c>
      <c r="D19" s="18"/>
      <c r="E19" s="17">
        <v>4.0380140000000004</v>
      </c>
      <c r="F19" s="18"/>
      <c r="G19" s="17">
        <v>0</v>
      </c>
      <c r="H19" s="18"/>
      <c r="I19" s="17">
        <f>C19+E19+G19</f>
        <v>7.6188950000000002</v>
      </c>
      <c r="J19" s="18"/>
      <c r="K19" s="17">
        <f>963410/1000000</f>
        <v>0.96340999999999999</v>
      </c>
      <c r="L19" s="19">
        <f>K19/I19</f>
        <v>0.12645009545347455</v>
      </c>
    </row>
    <row r="20" spans="1:12" ht="14.25">
      <c r="A20" s="16" t="s">
        <v>33</v>
      </c>
      <c r="B20" s="16">
        <f>SUM(B18:B19)</f>
        <v>12</v>
      </c>
      <c r="C20" s="17">
        <f>SUM(C18:C19)</f>
        <v>36.600524</v>
      </c>
      <c r="D20" s="19">
        <f>C20/105</f>
        <v>0.34857641904761905</v>
      </c>
      <c r="E20" s="17">
        <f>SUM(E18:E19)</f>
        <v>7.044417000000001</v>
      </c>
      <c r="F20" s="19">
        <f>E20/54</f>
        <v>0.13045216666666667</v>
      </c>
      <c r="G20" s="17">
        <f>SUM(G18:G19)</f>
        <v>34.497616999999998</v>
      </c>
      <c r="H20" s="19">
        <f>G20/51</f>
        <v>0.67642386274509803</v>
      </c>
      <c r="I20" s="17">
        <f>C20+E20+G20</f>
        <v>78.142558000000008</v>
      </c>
      <c r="J20" s="19">
        <f>I20/210</f>
        <v>0.37210741904761907</v>
      </c>
      <c r="K20" s="17">
        <v>1.5899380000000001</v>
      </c>
      <c r="L20" s="19">
        <f>K20/I20</f>
        <v>2.0346633648721864E-2</v>
      </c>
    </row>
    <row r="21" spans="1:12" ht="14.25">
      <c r="A21" s="16" t="s">
        <v>19</v>
      </c>
      <c r="B21" s="16">
        <v>5</v>
      </c>
      <c r="C21" s="17">
        <v>47.827972000000003</v>
      </c>
      <c r="D21" s="18"/>
      <c r="E21" s="17">
        <v>0</v>
      </c>
      <c r="F21" s="18"/>
      <c r="G21" s="17">
        <v>54.272846999999999</v>
      </c>
      <c r="H21" s="18"/>
      <c r="I21" s="17">
        <f>C21+G21</f>
        <v>102.100819</v>
      </c>
      <c r="J21" s="18"/>
      <c r="K21" s="17">
        <v>2.774486</v>
      </c>
      <c r="L21" s="19">
        <f>K21/I21</f>
        <v>2.7173983785575707E-2</v>
      </c>
    </row>
    <row r="22" spans="1:12" ht="14.25">
      <c r="A22" s="16" t="s">
        <v>20</v>
      </c>
      <c r="B22" s="16">
        <v>0</v>
      </c>
      <c r="C22" s="17">
        <v>0</v>
      </c>
      <c r="D22" s="18"/>
      <c r="E22" s="17">
        <v>0</v>
      </c>
      <c r="F22" s="18"/>
      <c r="G22" s="17">
        <v>0</v>
      </c>
      <c r="H22" s="18"/>
      <c r="I22" s="17">
        <v>0</v>
      </c>
      <c r="J22" s="18"/>
      <c r="K22" s="18"/>
      <c r="L22" s="18"/>
    </row>
    <row r="23" spans="1:12" ht="14.25">
      <c r="A23" s="16" t="s">
        <v>34</v>
      </c>
      <c r="B23" s="16">
        <v>5</v>
      </c>
      <c r="C23" s="17">
        <f>SUM(C21:C22)</f>
        <v>47.827972000000003</v>
      </c>
      <c r="D23" s="19">
        <f>'[1]Total ram'!$K$24</f>
        <v>0.29357251608914209</v>
      </c>
      <c r="E23" s="17">
        <v>0</v>
      </c>
      <c r="F23" s="18"/>
      <c r="G23" s="17">
        <f>SUM(G21:G22)</f>
        <v>54.272846999999999</v>
      </c>
      <c r="H23" s="18"/>
      <c r="I23" s="17">
        <f>C23+G23</f>
        <v>102.100819</v>
      </c>
      <c r="J23" s="18"/>
      <c r="K23" s="17">
        <v>2.774486</v>
      </c>
      <c r="L23" s="19">
        <f>K23/I23</f>
        <v>2.7173983785575707E-2</v>
      </c>
    </row>
    <row r="24" spans="1:12" ht="14.25">
      <c r="A24" s="16" t="s">
        <v>21</v>
      </c>
      <c r="B24" s="16">
        <v>6</v>
      </c>
      <c r="C24" s="17">
        <v>29.778009999999998</v>
      </c>
      <c r="D24" s="19">
        <v>0.43</v>
      </c>
      <c r="E24" s="17">
        <v>12.762003999999999</v>
      </c>
      <c r="F24" s="18"/>
      <c r="G24" s="17">
        <v>21.292881999999999</v>
      </c>
      <c r="H24" s="18"/>
      <c r="I24" s="17">
        <f>C24+E24+G24</f>
        <v>63.832895999999998</v>
      </c>
      <c r="J24" s="18"/>
      <c r="K24" s="17">
        <v>1.3545180000000001</v>
      </c>
      <c r="L24" s="19">
        <f>K24/I24</f>
        <v>2.1219748513368407E-2</v>
      </c>
    </row>
    <row r="25" spans="1:12" ht="14.25">
      <c r="A25" s="16" t="s">
        <v>35</v>
      </c>
      <c r="B25" s="16">
        <v>11</v>
      </c>
      <c r="C25" s="17">
        <f>SUM(C23:C24)</f>
        <v>77.605981999999997</v>
      </c>
      <c r="D25" s="19">
        <f>C25/233</f>
        <v>0.33307288412017166</v>
      </c>
      <c r="E25" s="17">
        <v>12.800455499999998</v>
      </c>
      <c r="F25" s="19">
        <f>E25/34</f>
        <v>0.37648398529411758</v>
      </c>
      <c r="G25" s="17">
        <v>75.565729000000005</v>
      </c>
      <c r="H25" s="19">
        <f>G25/199</f>
        <v>0.37972728140703521</v>
      </c>
      <c r="I25" s="17">
        <f>C25+E25+G25</f>
        <v>165.97216650000001</v>
      </c>
      <c r="J25" s="19">
        <f>I25/466</f>
        <v>0.35616344742489275</v>
      </c>
      <c r="K25" s="17">
        <v>4.1290040000000001</v>
      </c>
      <c r="L25" s="19">
        <f>K25/I25</f>
        <v>2.4877689356425915E-2</v>
      </c>
    </row>
    <row r="26" spans="1:12" ht="13.15">
      <c r="A26" s="15" t="s">
        <v>45</v>
      </c>
    </row>
    <row r="27" spans="1:12" ht="39.4">
      <c r="A27" s="23" t="s">
        <v>47</v>
      </c>
      <c r="B27" s="24">
        <f>E24/(E23+E24)</f>
        <v>1</v>
      </c>
      <c r="E27" s="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D7" sqref="D7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41">
        <v>69</v>
      </c>
      <c r="D2" s="41">
        <v>74</v>
      </c>
      <c r="E2" s="28">
        <f>SUM(C2:D2)</f>
        <v>143</v>
      </c>
      <c r="F2" s="7">
        <f>E2/L2</f>
        <v>3.6922062505510495E-3</v>
      </c>
      <c r="G2" s="8"/>
      <c r="H2" s="8"/>
      <c r="I2" s="8"/>
      <c r="J2" s="8"/>
      <c r="K2" s="9"/>
      <c r="L2" s="10">
        <v>38730.230733631885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1019.2165982534693</v>
      </c>
    </row>
    <row r="4" spans="1:12" ht="14.25">
      <c r="A4" s="4" t="s">
        <v>15</v>
      </c>
      <c r="B4" s="5" t="s">
        <v>16</v>
      </c>
      <c r="C4" s="28">
        <f>SUM(C2:C3)</f>
        <v>69</v>
      </c>
      <c r="D4" s="28">
        <f>SUM(D2:D3)</f>
        <v>74</v>
      </c>
      <c r="E4" s="28">
        <f>SUM(E2:E3)</f>
        <v>143</v>
      </c>
      <c r="F4" s="7">
        <f>E4/K4</f>
        <v>8.7689898450587431E-3</v>
      </c>
      <c r="G4" s="36">
        <f>21465</f>
        <v>21465</v>
      </c>
      <c r="H4" s="36">
        <f>5435</f>
        <v>5435</v>
      </c>
      <c r="I4" s="36">
        <f>26900</f>
        <v>26900</v>
      </c>
      <c r="J4" s="37">
        <f>I4/K4</f>
        <v>1.6495512365879734</v>
      </c>
      <c r="K4" s="12">
        <v>16307.465572055527</v>
      </c>
      <c r="L4" s="6">
        <v>39749.447331885371</v>
      </c>
    </row>
    <row r="5" spans="1:12" ht="14.25">
      <c r="A5" s="4" t="s">
        <v>17</v>
      </c>
      <c r="B5" s="5" t="s">
        <v>18</v>
      </c>
      <c r="C5" s="11"/>
      <c r="D5" s="11"/>
      <c r="E5" s="6">
        <v>0</v>
      </c>
      <c r="F5" s="7">
        <f>E5/L5</f>
        <v>0</v>
      </c>
      <c r="G5" s="33"/>
      <c r="H5" s="33"/>
      <c r="I5" s="33"/>
      <c r="J5" s="37"/>
      <c r="K5" s="9"/>
      <c r="L5" s="12">
        <v>10</v>
      </c>
    </row>
    <row r="6" spans="1:12" ht="14.25">
      <c r="A6" s="25" t="s">
        <v>48</v>
      </c>
      <c r="B6" s="5" t="s">
        <v>19</v>
      </c>
      <c r="C6" s="27">
        <f>55+14</f>
        <v>69</v>
      </c>
      <c r="D6" s="27">
        <f>33+10</f>
        <v>43</v>
      </c>
      <c r="E6" s="26">
        <f>SUM(C6:D6)</f>
        <v>112</v>
      </c>
      <c r="F6" s="7">
        <f>E6/L6</f>
        <v>2.5446994938340173E-2</v>
      </c>
      <c r="G6" s="35">
        <v>1584</v>
      </c>
      <c r="H6" s="35">
        <v>1744</v>
      </c>
      <c r="I6" s="36">
        <f>SUM(G6:H6)</f>
        <v>3328</v>
      </c>
      <c r="J6" s="37">
        <f>I6/L6</f>
        <v>0.75613927816782234</v>
      </c>
      <c r="K6" s="9"/>
      <c r="L6" s="10">
        <v>4401.3055479196555</v>
      </c>
    </row>
    <row r="7" spans="1:12" ht="14.25">
      <c r="A7" s="25" t="s">
        <v>48</v>
      </c>
      <c r="B7" s="5" t="s">
        <v>20</v>
      </c>
      <c r="C7" s="6">
        <f>0+9</f>
        <v>9</v>
      </c>
      <c r="D7" s="6">
        <f>0+6</f>
        <v>6</v>
      </c>
      <c r="E7" s="29">
        <f>SUM(C7:D7)</f>
        <v>15</v>
      </c>
      <c r="F7" s="7">
        <f>E7/L7</f>
        <v>2.5560597594314906E-3</v>
      </c>
      <c r="G7" s="35">
        <v>600</v>
      </c>
      <c r="H7" s="35">
        <v>850</v>
      </c>
      <c r="I7" s="36">
        <f>SUM(G7:H7)</f>
        <v>1450</v>
      </c>
      <c r="J7" s="37">
        <f>I7/L7</f>
        <v>0.24708577674504409</v>
      </c>
      <c r="K7" s="9"/>
      <c r="L7" s="10">
        <v>5868.4073972262076</v>
      </c>
    </row>
    <row r="8" spans="1:12" ht="14.25">
      <c r="A8" s="25" t="s">
        <v>48</v>
      </c>
      <c r="B8" s="5" t="s">
        <v>21</v>
      </c>
      <c r="C8" s="6">
        <v>0</v>
      </c>
      <c r="D8" s="6">
        <v>0</v>
      </c>
      <c r="E8" s="6">
        <v>0</v>
      </c>
      <c r="F8" s="7">
        <v>0</v>
      </c>
      <c r="G8" s="35">
        <v>0</v>
      </c>
      <c r="H8" s="35">
        <v>0</v>
      </c>
      <c r="I8" s="35">
        <v>0</v>
      </c>
      <c r="J8" s="37">
        <v>0</v>
      </c>
      <c r="K8" s="11"/>
      <c r="L8" s="10">
        <v>2934.2036986131038</v>
      </c>
    </row>
    <row r="9" spans="1:12" ht="14.25">
      <c r="A9" s="4" t="s">
        <v>22</v>
      </c>
      <c r="B9" s="5" t="s">
        <v>16</v>
      </c>
      <c r="C9" s="28">
        <f>SUM(C6:C8)</f>
        <v>78</v>
      </c>
      <c r="D9" s="28">
        <f>SUM(D6:D8)</f>
        <v>49</v>
      </c>
      <c r="E9" s="28">
        <f>SUM(E6:E8)</f>
        <v>127</v>
      </c>
      <c r="F9" s="7">
        <f>E9/K9</f>
        <v>2.4732921100784677E-2</v>
      </c>
      <c r="G9" s="36">
        <f>SUM(G6:G8)</f>
        <v>2184</v>
      </c>
      <c r="H9" s="36">
        <f>SUM(H6:H8)</f>
        <v>2594</v>
      </c>
      <c r="I9" s="36">
        <f>SUM(I6:I8)</f>
        <v>4778</v>
      </c>
      <c r="J9" s="37">
        <f>I9/K9</f>
        <v>0.93050312613818253</v>
      </c>
      <c r="K9" s="6">
        <v>5134.8564725729384</v>
      </c>
      <c r="L9" s="6">
        <v>13203.916643758981</v>
      </c>
    </row>
    <row r="10" spans="1:12" ht="14.25">
      <c r="A10" s="4" t="s">
        <v>14</v>
      </c>
      <c r="B10" s="5" t="s">
        <v>23</v>
      </c>
      <c r="C10" s="11"/>
      <c r="D10" s="11"/>
      <c r="E10" s="11"/>
      <c r="F10" s="13"/>
      <c r="G10" s="35"/>
      <c r="H10" s="35"/>
      <c r="I10" s="35"/>
      <c r="J10" s="37"/>
      <c r="K10" s="11"/>
      <c r="L10" s="11"/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5" spans="1:12" ht="63.75">
      <c r="A15" s="25" t="s">
        <v>51</v>
      </c>
      <c r="B15" s="20" t="s">
        <v>17</v>
      </c>
      <c r="C15" s="20" t="s">
        <v>26</v>
      </c>
      <c r="D15" s="20" t="s">
        <v>27</v>
      </c>
      <c r="E15" s="21" t="s">
        <v>30</v>
      </c>
      <c r="F15" s="20" t="s">
        <v>27</v>
      </c>
      <c r="G15" s="21" t="s">
        <v>31</v>
      </c>
      <c r="H15" s="20" t="s">
        <v>27</v>
      </c>
      <c r="I15" s="20" t="s">
        <v>28</v>
      </c>
      <c r="J15" s="20" t="s">
        <v>29</v>
      </c>
      <c r="K15" s="21" t="s">
        <v>44</v>
      </c>
      <c r="L15" s="21" t="s">
        <v>46</v>
      </c>
    </row>
    <row r="16" spans="1:12" ht="14.25">
      <c r="A16" s="16" t="s">
        <v>38</v>
      </c>
      <c r="B16" s="16">
        <v>15</v>
      </c>
      <c r="C16" s="17">
        <v>336.59479599999997</v>
      </c>
      <c r="D16" s="19">
        <f>C16/845</f>
        <v>0.39833703668639048</v>
      </c>
      <c r="E16" s="17">
        <v>66.949141999999995</v>
      </c>
      <c r="F16" s="19">
        <f>E16/236</f>
        <v>0.28368280508474575</v>
      </c>
      <c r="G16" s="17">
        <v>319.403863</v>
      </c>
      <c r="H16" s="19">
        <f>G16/609</f>
        <v>0.52447268144499182</v>
      </c>
      <c r="I16" s="17">
        <f t="shared" ref="I16:I22" si="0">C16+E16+G16</f>
        <v>722.94780100000003</v>
      </c>
      <c r="J16" s="19">
        <f>I16/1690</f>
        <v>0.42777976390532546</v>
      </c>
      <c r="K16" s="17">
        <v>12.126948000000001</v>
      </c>
      <c r="L16" s="19">
        <f t="shared" ref="L16:L22" si="1">K16/I16</f>
        <v>1.6774306503492636E-2</v>
      </c>
    </row>
    <row r="17" spans="1:12" ht="14.25">
      <c r="A17" s="16" t="s">
        <v>13</v>
      </c>
      <c r="B17" s="16">
        <v>6</v>
      </c>
      <c r="C17" s="17">
        <v>98.141838000000007</v>
      </c>
      <c r="D17" s="18"/>
      <c r="E17" s="17">
        <v>7.3997900000000003</v>
      </c>
      <c r="F17" s="18"/>
      <c r="G17" s="17">
        <v>103.07632700000001</v>
      </c>
      <c r="H17" s="18"/>
      <c r="I17" s="17">
        <f t="shared" si="0"/>
        <v>208.61795499999999</v>
      </c>
      <c r="J17" s="18"/>
      <c r="K17" s="17">
        <v>5.0361729999999998</v>
      </c>
      <c r="L17" s="19">
        <f t="shared" si="1"/>
        <v>2.4140649830452034E-2</v>
      </c>
    </row>
    <row r="18" spans="1:12" ht="14.25">
      <c r="A18" s="16" t="s">
        <v>18</v>
      </c>
      <c r="B18" s="16">
        <v>1</v>
      </c>
      <c r="C18" s="17">
        <f>8940504/1000000</f>
        <v>8.9405040000000007</v>
      </c>
      <c r="D18" s="18"/>
      <c r="E18" s="17">
        <f>10081845/1000000</f>
        <v>10.081845</v>
      </c>
      <c r="F18" s="18"/>
      <c r="G18" s="17">
        <v>0</v>
      </c>
      <c r="H18" s="18"/>
      <c r="I18" s="17">
        <f t="shared" si="0"/>
        <v>19.022348999999998</v>
      </c>
      <c r="J18" s="18"/>
      <c r="K18" s="18"/>
      <c r="L18" s="18">
        <f t="shared" si="1"/>
        <v>0</v>
      </c>
    </row>
    <row r="19" spans="1:12" ht="14.25">
      <c r="A19" s="16" t="s">
        <v>33</v>
      </c>
      <c r="B19" s="16">
        <f>SUM(B17:B18)</f>
        <v>7</v>
      </c>
      <c r="C19" s="17">
        <f>SUM(C17:C18)</f>
        <v>107.08234200000001</v>
      </c>
      <c r="D19" s="19">
        <f>C19/307</f>
        <v>0.34880241693811076</v>
      </c>
      <c r="E19" s="17">
        <v>17.481635000000001</v>
      </c>
      <c r="F19" s="19">
        <f>E19/157</f>
        <v>0.11134799363057325</v>
      </c>
      <c r="G19" s="17">
        <v>103.07632700000001</v>
      </c>
      <c r="H19" s="19">
        <f>G19/150</f>
        <v>0.68717551333333338</v>
      </c>
      <c r="I19" s="17">
        <f t="shared" si="0"/>
        <v>227.64030400000001</v>
      </c>
      <c r="J19" s="19">
        <f>I19/614</f>
        <v>0.37074968078175896</v>
      </c>
      <c r="K19" s="17">
        <v>5.0361729999999998</v>
      </c>
      <c r="L19" s="19">
        <f t="shared" si="1"/>
        <v>2.2123380225322488E-2</v>
      </c>
    </row>
    <row r="20" spans="1:12" ht="14.25">
      <c r="A20" s="16" t="s">
        <v>19</v>
      </c>
      <c r="B20" s="16">
        <v>5</v>
      </c>
      <c r="C20" s="17">
        <v>114.088269</v>
      </c>
      <c r="D20" s="18"/>
      <c r="E20" s="17">
        <v>0</v>
      </c>
      <c r="F20" s="18"/>
      <c r="G20" s="17">
        <v>132.21506600000001</v>
      </c>
      <c r="H20" s="18"/>
      <c r="I20" s="17">
        <f t="shared" si="0"/>
        <v>246.303335</v>
      </c>
      <c r="J20" s="18"/>
      <c r="K20" s="17">
        <v>5.1881950000000003</v>
      </c>
      <c r="L20" s="19">
        <f t="shared" si="1"/>
        <v>2.1064249901447743E-2</v>
      </c>
    </row>
    <row r="21" spans="1:12" ht="14.25">
      <c r="A21" s="16" t="s">
        <v>20</v>
      </c>
      <c r="B21" s="16">
        <v>2</v>
      </c>
      <c r="C21" s="17">
        <v>45.425184000000002</v>
      </c>
      <c r="D21" s="18"/>
      <c r="E21" s="17">
        <v>19.467507999999999</v>
      </c>
      <c r="F21" s="18"/>
      <c r="G21" s="17">
        <v>34.857616</v>
      </c>
      <c r="H21" s="18"/>
      <c r="I21" s="17">
        <f t="shared" si="0"/>
        <v>99.75030799999999</v>
      </c>
      <c r="J21" s="18"/>
      <c r="K21" s="17">
        <v>1.9025799999999999</v>
      </c>
      <c r="L21" s="19">
        <f t="shared" si="1"/>
        <v>1.9073424815891298E-2</v>
      </c>
    </row>
    <row r="22" spans="1:12" ht="14.25">
      <c r="A22" s="16" t="s">
        <v>34</v>
      </c>
      <c r="B22" s="16">
        <f>SUM(B20:B21)</f>
        <v>7</v>
      </c>
      <c r="C22" s="17">
        <f>SUM(C20:C21)</f>
        <v>159.513453</v>
      </c>
      <c r="D22" s="19">
        <f>'[1]Total ram'!$K$22</f>
        <v>0.42379028780803563</v>
      </c>
      <c r="E22" s="17">
        <f>SUM(E20:E21)</f>
        <v>19.467507999999999</v>
      </c>
      <c r="F22" s="18">
        <f>E22/79</f>
        <v>0.24642415189873415</v>
      </c>
      <c r="G22" s="17">
        <f>SUM(G20:G21)</f>
        <v>167.07268200000001</v>
      </c>
      <c r="H22" s="18">
        <f>G22/459</f>
        <v>0.3639927712418301</v>
      </c>
      <c r="I22" s="17">
        <f t="shared" si="0"/>
        <v>346.05364300000002</v>
      </c>
      <c r="J22" s="18"/>
      <c r="K22" s="17">
        <f>SUM(K20:K21)</f>
        <v>7.0907750000000007</v>
      </c>
      <c r="L22" s="19">
        <f t="shared" si="1"/>
        <v>2.0490392583441177E-2</v>
      </c>
    </row>
    <row r="23" spans="1:12" ht="14.25">
      <c r="A23" s="16" t="s">
        <v>21</v>
      </c>
      <c r="B23" s="16">
        <v>1</v>
      </c>
      <c r="C23" s="17">
        <v>0</v>
      </c>
      <c r="D23" s="19">
        <f>'[1]Total ram'!$L$22</f>
        <v>0</v>
      </c>
      <c r="E23" s="17">
        <v>0</v>
      </c>
      <c r="F23" s="18"/>
      <c r="G23" s="17">
        <v>0</v>
      </c>
      <c r="H23" s="18"/>
      <c r="I23" s="17">
        <v>0</v>
      </c>
      <c r="J23" s="18"/>
      <c r="K23" s="18"/>
      <c r="L23" s="18"/>
    </row>
    <row r="24" spans="1:12" ht="14.25">
      <c r="A24" s="16" t="s">
        <v>35</v>
      </c>
      <c r="B24" s="16">
        <v>8</v>
      </c>
      <c r="C24" s="17">
        <f>SUM(C22:C23)</f>
        <v>159.513453</v>
      </c>
      <c r="D24" s="19">
        <f>C24/538</f>
        <v>0.29649340706319705</v>
      </c>
      <c r="E24" s="17">
        <f>SUM(E22:E23)</f>
        <v>19.467507999999999</v>
      </c>
      <c r="F24" s="19">
        <f>E24/79</f>
        <v>0.24642415189873415</v>
      </c>
      <c r="G24" s="17">
        <f>SUM(G22:G23)</f>
        <v>167.07268200000001</v>
      </c>
      <c r="H24" s="19">
        <f>G24/459</f>
        <v>0.3639927712418301</v>
      </c>
      <c r="I24" s="17">
        <f>SUM(I22:I23)</f>
        <v>346.05364300000002</v>
      </c>
      <c r="J24" s="19">
        <f>I24/1076</f>
        <v>0.32161119237918218</v>
      </c>
      <c r="K24" s="17">
        <f>SUM(K22:K23)</f>
        <v>7.0907750000000007</v>
      </c>
      <c r="L24" s="19">
        <f>K24/I24</f>
        <v>2.0490392583441177E-2</v>
      </c>
    </row>
    <row r="25" spans="1:12" ht="13.15">
      <c r="A25" s="15" t="s">
        <v>45</v>
      </c>
    </row>
    <row r="26" spans="1:12" ht="39.4">
      <c r="A26" s="23" t="s">
        <v>47</v>
      </c>
      <c r="B26" s="24">
        <f>E23/(E22+E23)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opLeftCell="A19" workbookViewId="0">
      <selection activeCell="D28" sqref="D28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27">
        <v>433</v>
      </c>
      <c r="D2" s="27">
        <v>133</v>
      </c>
      <c r="E2" s="28">
        <f>SUM(C2:D2)</f>
        <v>566</v>
      </c>
      <c r="F2" s="7">
        <f>E2/L2</f>
        <v>2.5818592028029361E-2</v>
      </c>
      <c r="G2" s="8"/>
      <c r="H2" s="8"/>
      <c r="I2" s="8"/>
      <c r="J2" s="8"/>
      <c r="K2" s="9"/>
      <c r="L2" s="10">
        <v>21922.186902583035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576.89965533113173</v>
      </c>
    </row>
    <row r="4" spans="1:12" ht="14.25">
      <c r="A4" s="4" t="s">
        <v>15</v>
      </c>
      <c r="B4" s="5" t="s">
        <v>16</v>
      </c>
      <c r="C4" s="28">
        <f>SUM(C2:C3)</f>
        <v>433</v>
      </c>
      <c r="D4" s="28">
        <f>SUM(D2:D3)</f>
        <v>133</v>
      </c>
      <c r="E4" s="28">
        <f>SUM(E2:E3)</f>
        <v>566</v>
      </c>
      <c r="F4" s="7">
        <f>E4/K4</f>
        <v>6.1319156066569742E-2</v>
      </c>
      <c r="G4" s="36">
        <f>7626</f>
        <v>7626</v>
      </c>
      <c r="H4" s="36">
        <f>3435</f>
        <v>3435</v>
      </c>
      <c r="I4" s="36">
        <f>11061</f>
        <v>11061</v>
      </c>
      <c r="J4" s="37">
        <f>I4/K4</f>
        <v>1.198323648855703</v>
      </c>
      <c r="K4" s="12">
        <v>9230.3944852981185</v>
      </c>
      <c r="L4" s="6">
        <v>22499.086557914176</v>
      </c>
    </row>
    <row r="5" spans="1:12" ht="14.25">
      <c r="A5" s="4" t="s">
        <v>17</v>
      </c>
      <c r="B5" s="5" t="s">
        <v>18</v>
      </c>
      <c r="C5" s="11"/>
      <c r="D5" s="11"/>
      <c r="E5" s="6">
        <v>3</v>
      </c>
      <c r="F5" s="7">
        <f>E5/L5</f>
        <v>0.5</v>
      </c>
      <c r="G5" s="33"/>
      <c r="H5" s="33"/>
      <c r="I5" s="33"/>
      <c r="J5" s="37"/>
      <c r="K5" s="9"/>
      <c r="L5" s="12">
        <v>6</v>
      </c>
    </row>
    <row r="6" spans="1:12" ht="14.25">
      <c r="A6" s="25" t="s">
        <v>48</v>
      </c>
      <c r="B6" s="5" t="s">
        <v>19</v>
      </c>
      <c r="C6" s="27">
        <f>115+19</f>
        <v>134</v>
      </c>
      <c r="D6" s="27">
        <f>127+25</f>
        <v>152</v>
      </c>
      <c r="E6" s="26">
        <f>SUM(C6:D6)</f>
        <v>286</v>
      </c>
      <c r="F6" s="7">
        <f>E6/L6</f>
        <v>7.6375303351712193E-2</v>
      </c>
      <c r="G6" s="35">
        <v>406</v>
      </c>
      <c r="H6" s="35">
        <v>524</v>
      </c>
      <c r="I6" s="36">
        <f>SUM(G6:H6)</f>
        <v>930</v>
      </c>
      <c r="J6" s="37">
        <f>I6/L6</f>
        <v>0.2483532591506725</v>
      </c>
      <c r="K6" s="9"/>
      <c r="L6" s="10">
        <v>3744.6659777304626</v>
      </c>
    </row>
    <row r="7" spans="1:12" ht="14.25">
      <c r="A7" s="25" t="s">
        <v>48</v>
      </c>
      <c r="B7" s="5" t="s">
        <v>20</v>
      </c>
      <c r="C7" s="27">
        <f>61+44</f>
        <v>105</v>
      </c>
      <c r="D7" s="27">
        <f>70+59</f>
        <v>129</v>
      </c>
      <c r="E7" s="26">
        <f>SUM(C7:D7)</f>
        <v>234</v>
      </c>
      <c r="F7" s="7">
        <f>E7/L7</f>
        <v>4.686666342036884E-2</v>
      </c>
      <c r="G7" s="35">
        <v>763</v>
      </c>
      <c r="H7" s="35">
        <v>958</v>
      </c>
      <c r="I7" s="36">
        <f>SUM(G7:H7)</f>
        <v>1721</v>
      </c>
      <c r="J7" s="37">
        <f>I7/L7</f>
        <v>0.34469028951476399</v>
      </c>
      <c r="K7" s="9"/>
      <c r="L7" s="10">
        <v>4992.8879703072835</v>
      </c>
    </row>
    <row r="8" spans="1:12" ht="14.25">
      <c r="A8" s="25" t="s">
        <v>48</v>
      </c>
      <c r="B8" s="5" t="s">
        <v>21</v>
      </c>
      <c r="C8" s="27">
        <f>60+42</f>
        <v>102</v>
      </c>
      <c r="D8" s="27">
        <f>49+24</f>
        <v>73</v>
      </c>
      <c r="E8" s="28">
        <f>SUM(C8:D8)</f>
        <v>175</v>
      </c>
      <c r="F8" s="7">
        <f>E8/L8</f>
        <v>7.0099710244141425E-2</v>
      </c>
      <c r="G8" s="35">
        <v>1867</v>
      </c>
      <c r="H8" s="35">
        <v>1776</v>
      </c>
      <c r="I8" s="36">
        <f>SUM(G8:H8)</f>
        <v>3643</v>
      </c>
      <c r="J8" s="37">
        <f>I8/L8</f>
        <v>1.4592756823966129</v>
      </c>
      <c r="K8" s="11"/>
      <c r="L8" s="10">
        <v>2496.4439851536417</v>
      </c>
    </row>
    <row r="9" spans="1:12" ht="14.25">
      <c r="A9" s="4" t="s">
        <v>22</v>
      </c>
      <c r="B9" s="5" t="s">
        <v>16</v>
      </c>
      <c r="C9" s="28">
        <f>SUM(C6:C8)</f>
        <v>341</v>
      </c>
      <c r="D9" s="28">
        <f>SUM(D6:D8)</f>
        <v>354</v>
      </c>
      <c r="E9" s="28">
        <f>SUM(E6:E8)</f>
        <v>695</v>
      </c>
      <c r="F9" s="7">
        <f>E9/K9</f>
        <v>0.15908342406425546</v>
      </c>
      <c r="G9" s="36">
        <f>SUM(G6:G8)</f>
        <v>3036</v>
      </c>
      <c r="H9" s="36">
        <f>SUM(H6:H8)</f>
        <v>3258</v>
      </c>
      <c r="I9" s="36">
        <f>SUM(I6:I8)</f>
        <v>6294</v>
      </c>
      <c r="J9" s="37">
        <f>I9/K9</f>
        <v>1.4406778000869407</v>
      </c>
      <c r="K9" s="6">
        <v>4368.7769740188787</v>
      </c>
      <c r="L9" s="6">
        <v>11233.9979331914</v>
      </c>
    </row>
    <row r="10" spans="1:12" ht="14.25">
      <c r="A10" s="4" t="s">
        <v>14</v>
      </c>
      <c r="B10" s="5" t="s">
        <v>23</v>
      </c>
      <c r="C10" s="27">
        <v>644</v>
      </c>
      <c r="D10" s="27">
        <v>1146</v>
      </c>
      <c r="E10" s="29">
        <f>SUM(C10:D10)</f>
        <v>1790</v>
      </c>
      <c r="F10" s="7">
        <f>E10/K10</f>
        <v>0.34098561761078455</v>
      </c>
      <c r="G10" s="35">
        <v>3653</v>
      </c>
      <c r="H10" s="35">
        <v>4205</v>
      </c>
      <c r="I10" s="36">
        <f>SUM(G10:H10)</f>
        <v>7858</v>
      </c>
      <c r="J10" s="37">
        <f>I10/K10</f>
        <v>1.4969078118354999</v>
      </c>
      <c r="K10" s="10">
        <v>5249.488270332803</v>
      </c>
      <c r="L10" s="10">
        <v>5249.488270332803</v>
      </c>
    </row>
    <row r="11" spans="1:12" ht="13.15">
      <c r="A11" s="15" t="s">
        <v>25</v>
      </c>
      <c r="B11" s="2"/>
      <c r="C11" s="2"/>
      <c r="D11" s="2"/>
      <c r="E11" s="2"/>
      <c r="F11" s="2"/>
      <c r="G11" s="40"/>
      <c r="H11" s="40"/>
      <c r="I11" s="40"/>
      <c r="J11" s="40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6" spans="1:12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2" ht="14.25">
      <c r="A17" s="16" t="s">
        <v>40</v>
      </c>
      <c r="B17" s="16">
        <v>49</v>
      </c>
      <c r="C17" s="17">
        <v>382.202451</v>
      </c>
      <c r="D17" s="19">
        <f>C17/823</f>
        <v>0.46440152004860269</v>
      </c>
      <c r="E17" s="17">
        <v>50.568531</v>
      </c>
      <c r="F17" s="19">
        <f>E17/156</f>
        <v>0.32415725000000001</v>
      </c>
      <c r="G17" s="17">
        <v>368.36310500000002</v>
      </c>
      <c r="H17" s="19">
        <f>G17/569</f>
        <v>0.64738682776801404</v>
      </c>
      <c r="I17" s="17">
        <f t="shared" ref="I17:I24" si="0">C17+E17+G17</f>
        <v>801.13408700000002</v>
      </c>
      <c r="J17" s="19">
        <f>I17/1557</f>
        <v>0.51453698587026331</v>
      </c>
      <c r="K17" s="17">
        <v>50.328758999999998</v>
      </c>
      <c r="L17" s="19">
        <f>K17/I17</f>
        <v>6.2821891886370329E-2</v>
      </c>
    </row>
    <row r="18" spans="1:12" ht="14.25">
      <c r="A18" s="16" t="s">
        <v>13</v>
      </c>
      <c r="B18" s="16">
        <v>13</v>
      </c>
      <c r="C18" s="17">
        <v>61.751970999999998</v>
      </c>
      <c r="D18" s="18"/>
      <c r="E18" s="17">
        <v>36.267031000000003</v>
      </c>
      <c r="F18" s="18"/>
      <c r="G18" s="17">
        <v>32.867995000000001</v>
      </c>
      <c r="H18" s="18"/>
      <c r="I18" s="17">
        <f t="shared" si="0"/>
        <v>130.88699700000001</v>
      </c>
      <c r="J18" s="18"/>
      <c r="K18" s="17">
        <v>3.1069900000000001</v>
      </c>
      <c r="L18" s="19">
        <f>K18/I18</f>
        <v>2.3737957713247864E-2</v>
      </c>
    </row>
    <row r="19" spans="1:12" ht="14.25">
      <c r="A19" s="16" t="s">
        <v>18</v>
      </c>
      <c r="B19" s="16">
        <v>3</v>
      </c>
      <c r="C19" s="17">
        <v>9.9582350000000002</v>
      </c>
      <c r="D19" s="18"/>
      <c r="E19" s="17">
        <v>0</v>
      </c>
      <c r="F19" s="18"/>
      <c r="G19" s="17">
        <v>11.302675000000001</v>
      </c>
      <c r="H19" s="18"/>
      <c r="I19" s="17">
        <f t="shared" si="0"/>
        <v>21.260910000000003</v>
      </c>
      <c r="J19" s="18"/>
      <c r="K19" s="17">
        <f>324575/1000000</f>
        <v>0.324575</v>
      </c>
      <c r="L19" s="19">
        <f>K19/I19</f>
        <v>1.5266279759427041E-2</v>
      </c>
    </row>
    <row r="20" spans="1:12" ht="14.25">
      <c r="A20" s="16" t="s">
        <v>33</v>
      </c>
      <c r="B20" s="16">
        <v>16</v>
      </c>
      <c r="C20" s="17">
        <f>SUM(C18:C19)</f>
        <v>71.710205999999999</v>
      </c>
      <c r="D20" s="19">
        <f>C20/173</f>
        <v>0.41450986127167627</v>
      </c>
      <c r="E20" s="17">
        <f>SUM(E18:E19)</f>
        <v>36.267031000000003</v>
      </c>
      <c r="F20" s="19">
        <f>E20/89</f>
        <v>0.40749473033707867</v>
      </c>
      <c r="G20" s="17">
        <f>SUM(G18:G19)</f>
        <v>44.170670000000001</v>
      </c>
      <c r="H20" s="19">
        <f>G20/84</f>
        <v>0.52584130952380959</v>
      </c>
      <c r="I20" s="17">
        <f t="shared" si="0"/>
        <v>152.147907</v>
      </c>
      <c r="J20" s="19">
        <f>I20/346</f>
        <v>0.43973383526011561</v>
      </c>
      <c r="K20" s="17">
        <v>3.431565</v>
      </c>
      <c r="L20" s="19">
        <f>K207/I20</f>
        <v>0</v>
      </c>
    </row>
    <row r="21" spans="1:12" ht="14.25">
      <c r="A21" s="16" t="s">
        <v>19</v>
      </c>
      <c r="B21" s="16">
        <v>5</v>
      </c>
      <c r="C21" s="17">
        <v>41.758341000000001</v>
      </c>
      <c r="D21" s="18"/>
      <c r="E21" s="17">
        <v>1.9548460000000001</v>
      </c>
      <c r="F21" s="18"/>
      <c r="G21" s="17">
        <v>45.230901000000003</v>
      </c>
      <c r="H21" s="18"/>
      <c r="I21" s="17">
        <f t="shared" si="0"/>
        <v>88.944088000000008</v>
      </c>
      <c r="J21" s="18"/>
      <c r="K21" s="17">
        <v>5.6906780000000001</v>
      </c>
      <c r="L21" s="19">
        <f t="shared" ref="L21:L26" si="1">K21/I21</f>
        <v>6.398039631369315E-2</v>
      </c>
    </row>
    <row r="22" spans="1:12" ht="14.25">
      <c r="A22" s="16" t="s">
        <v>20</v>
      </c>
      <c r="B22" s="16">
        <v>4</v>
      </c>
      <c r="C22" s="17">
        <v>37.428075999999997</v>
      </c>
      <c r="D22" s="18"/>
      <c r="E22" s="17">
        <v>0</v>
      </c>
      <c r="F22" s="18"/>
      <c r="G22" s="17">
        <v>42.245671999999999</v>
      </c>
      <c r="H22" s="18"/>
      <c r="I22" s="17">
        <f t="shared" si="0"/>
        <v>79.673747999999989</v>
      </c>
      <c r="J22" s="18"/>
      <c r="K22" s="17">
        <v>5.9580679999999999</v>
      </c>
      <c r="L22" s="19">
        <f t="shared" si="1"/>
        <v>7.4780817390440832E-2</v>
      </c>
    </row>
    <row r="23" spans="1:12" ht="14.25">
      <c r="A23" s="16" t="s">
        <v>34</v>
      </c>
      <c r="B23" s="16">
        <v>9</v>
      </c>
      <c r="C23" s="17">
        <f>SUM(C21:C22)</f>
        <v>79.186417000000006</v>
      </c>
      <c r="D23" s="19">
        <f>'[1]Total ram'!$K$26</f>
        <v>0.24873367114590469</v>
      </c>
      <c r="E23" s="17">
        <f>SUM(E21:E22)</f>
        <v>1.9548460000000001</v>
      </c>
      <c r="F23" s="18"/>
      <c r="G23" s="17">
        <f>SUM(G21:G22)</f>
        <v>87.476573000000002</v>
      </c>
      <c r="H23" s="18"/>
      <c r="I23" s="17">
        <f t="shared" si="0"/>
        <v>168.61783600000001</v>
      </c>
      <c r="J23" s="18"/>
      <c r="K23" s="17">
        <v>11.648745999999999</v>
      </c>
      <c r="L23" s="19">
        <f t="shared" si="1"/>
        <v>6.9083711879685122E-2</v>
      </c>
    </row>
    <row r="24" spans="1:12" ht="14.25">
      <c r="A24" s="16" t="s">
        <v>21</v>
      </c>
      <c r="B24" s="16">
        <v>12</v>
      </c>
      <c r="C24" s="17">
        <v>138.50376499999999</v>
      </c>
      <c r="D24" s="19">
        <v>1.02</v>
      </c>
      <c r="E24" s="17">
        <v>12.346653999999999</v>
      </c>
      <c r="F24" s="18"/>
      <c r="G24" s="17">
        <v>144.42891499999999</v>
      </c>
      <c r="H24" s="18"/>
      <c r="I24" s="17">
        <f t="shared" si="0"/>
        <v>295.27933399999995</v>
      </c>
      <c r="J24" s="18"/>
      <c r="K24" s="17">
        <v>7.2528709999999998</v>
      </c>
      <c r="L24" s="19">
        <f t="shared" si="1"/>
        <v>2.4562745051436619E-2</v>
      </c>
    </row>
    <row r="25" spans="1:12" ht="14.25">
      <c r="A25" s="16" t="s">
        <v>35</v>
      </c>
      <c r="B25" s="16">
        <v>21</v>
      </c>
      <c r="C25" s="17">
        <f>SUM(C23:C24)</f>
        <v>217.69018199999999</v>
      </c>
      <c r="D25" s="19">
        <f>C25/455</f>
        <v>0.47843996043956044</v>
      </c>
      <c r="E25" s="17">
        <f>SUM(E23:E24)</f>
        <v>14.301499999999999</v>
      </c>
      <c r="F25" s="19">
        <f>E25/67</f>
        <v>0.21345522388059701</v>
      </c>
      <c r="G25" s="17">
        <f>SUM(G23:G24)</f>
        <v>231.90548799999999</v>
      </c>
      <c r="H25" s="19">
        <f>G25/388</f>
        <v>0.59769455670103089</v>
      </c>
      <c r="I25" s="17">
        <f>SUM(I23:I24)</f>
        <v>463.89716999999996</v>
      </c>
      <c r="J25" s="19">
        <f>I25/910</f>
        <v>0.50977710989010983</v>
      </c>
      <c r="K25" s="17">
        <v>18.901617000000002</v>
      </c>
      <c r="L25" s="19">
        <f t="shared" si="1"/>
        <v>4.0745273354437589E-2</v>
      </c>
    </row>
    <row r="26" spans="1:12" ht="14.25">
      <c r="A26" s="16" t="s">
        <v>23</v>
      </c>
      <c r="B26" s="16">
        <v>12</v>
      </c>
      <c r="C26" s="17">
        <v>185.60412600000001</v>
      </c>
      <c r="D26" s="19">
        <f>C26/195</f>
        <v>0.95181603076923083</v>
      </c>
      <c r="E26" s="18"/>
      <c r="F26" s="18"/>
      <c r="G26" s="17">
        <v>92.286946999999998</v>
      </c>
      <c r="H26" s="19">
        <f>G26/97</f>
        <v>0.95141182474226804</v>
      </c>
      <c r="I26" s="17">
        <f>C26+E26+G26</f>
        <v>277.89107300000001</v>
      </c>
      <c r="J26" s="19">
        <f>I26/292</f>
        <v>0.95168175684931511</v>
      </c>
      <c r="K26" s="17">
        <v>27.995577000000001</v>
      </c>
      <c r="L26" s="19">
        <f t="shared" si="1"/>
        <v>0.10074298788288172</v>
      </c>
    </row>
    <row r="27" spans="1:12" ht="13.15">
      <c r="A27" s="15" t="s">
        <v>45</v>
      </c>
    </row>
    <row r="28" spans="1:12" ht="39.4">
      <c r="A28" s="23" t="s">
        <v>47</v>
      </c>
      <c r="B28" s="24">
        <f>E24/(E23+E24)</f>
        <v>0.86331182043841559</v>
      </c>
      <c r="D28" s="22"/>
    </row>
  </sheetData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&amp;L&amp;D&amp;C&amp;A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C27" sqref="C27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9" width="10.3984375" customWidth="1"/>
    <col min="10" max="12" width="9.265625" customWidth="1"/>
  </cols>
  <sheetData>
    <row r="1" spans="1:12" ht="51">
      <c r="A1" s="47" t="s">
        <v>50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27">
        <v>509</v>
      </c>
      <c r="D2" s="27">
        <v>740</v>
      </c>
      <c r="E2" s="28">
        <f>SUM(C2:D2)</f>
        <v>1249</v>
      </c>
      <c r="F2" s="7">
        <f>E2/L2</f>
        <v>4.0204415385387056E-2</v>
      </c>
      <c r="G2" s="8"/>
      <c r="H2" s="8"/>
      <c r="I2" s="8"/>
      <c r="J2" s="8"/>
      <c r="K2" s="9"/>
      <c r="L2" s="10">
        <v>31066.239566661356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817.53262017529778</v>
      </c>
    </row>
    <row r="4" spans="1:12" ht="14.25">
      <c r="A4" s="4" t="s">
        <v>15</v>
      </c>
      <c r="B4" s="5" t="s">
        <v>16</v>
      </c>
      <c r="C4" s="28">
        <f>SUM(C2:C3)</f>
        <v>509</v>
      </c>
      <c r="D4" s="28">
        <f>SUM(D2:D3)</f>
        <v>740</v>
      </c>
      <c r="E4" s="28">
        <f>SUM(E2:E3)</f>
        <v>1249</v>
      </c>
      <c r="F4" s="7">
        <f>E4/K4</f>
        <v>9.548548654029429E-2</v>
      </c>
      <c r="G4" s="36">
        <f>7043</f>
        <v>7043</v>
      </c>
      <c r="H4" s="36">
        <f>6957</f>
        <v>6957</v>
      </c>
      <c r="I4" s="36">
        <f>14000</f>
        <v>14000</v>
      </c>
      <c r="J4" s="37">
        <f>I4/K4</f>
        <v>1.070293684198655</v>
      </c>
      <c r="K4" s="12">
        <v>13080.521922804777</v>
      </c>
      <c r="L4" s="6">
        <v>31883.772186836664</v>
      </c>
    </row>
    <row r="5" spans="1:12" ht="14.25">
      <c r="A5" s="4" t="s">
        <v>17</v>
      </c>
      <c r="B5" s="5" t="s">
        <v>18</v>
      </c>
      <c r="C5" s="11"/>
      <c r="D5" s="11"/>
      <c r="E5" s="6">
        <v>3</v>
      </c>
      <c r="F5" s="7">
        <f>E5/L5</f>
        <v>0.375</v>
      </c>
      <c r="G5" s="33"/>
      <c r="H5" s="33"/>
      <c r="I5" s="33"/>
      <c r="J5" s="37"/>
      <c r="K5" s="9"/>
      <c r="L5" s="12">
        <v>8</v>
      </c>
    </row>
    <row r="6" spans="1:12" ht="14.25">
      <c r="A6" s="25" t="s">
        <v>48</v>
      </c>
      <c r="B6" s="5" t="s">
        <v>19</v>
      </c>
      <c r="C6" s="27">
        <f>53+161</f>
        <v>214</v>
      </c>
      <c r="D6" s="27">
        <f>54+148</f>
        <v>202</v>
      </c>
      <c r="E6" s="26">
        <f>SUM(C6:D6)</f>
        <v>416</v>
      </c>
      <c r="F6" s="7">
        <f>E6/L6</f>
        <v>9.2039628386514472E-2</v>
      </c>
      <c r="G6" s="35">
        <v>1464</v>
      </c>
      <c r="H6" s="35">
        <v>1290</v>
      </c>
      <c r="I6" s="36">
        <f>SUM(G6:H6)</f>
        <v>2754</v>
      </c>
      <c r="J6" s="37">
        <f>I6/L6</f>
        <v>0.60932003984726169</v>
      </c>
      <c r="K6" s="9"/>
      <c r="L6" s="10">
        <v>4519.7922600581878</v>
      </c>
    </row>
    <row r="7" spans="1:12" ht="14.25">
      <c r="A7" s="25" t="s">
        <v>48</v>
      </c>
      <c r="B7" s="5" t="s">
        <v>20</v>
      </c>
      <c r="C7" s="27">
        <v>0</v>
      </c>
      <c r="D7" s="27">
        <v>4</v>
      </c>
      <c r="E7" s="26">
        <f>SUM(C7:D7)</f>
        <v>4</v>
      </c>
      <c r="F7" s="7">
        <f>E7/L7</f>
        <v>6.6374732009505627E-4</v>
      </c>
      <c r="G7" s="35">
        <v>559</v>
      </c>
      <c r="H7" s="35">
        <v>661</v>
      </c>
      <c r="I7" s="36">
        <f>SUM(G7:H7)</f>
        <v>1220</v>
      </c>
      <c r="J7" s="37">
        <f>I7/L7</f>
        <v>0.20244293262899218</v>
      </c>
      <c r="K7" s="9"/>
      <c r="L7" s="10">
        <v>6026.3896800775838</v>
      </c>
    </row>
    <row r="8" spans="1:12" ht="14.25">
      <c r="A8" s="25" t="s">
        <v>48</v>
      </c>
      <c r="B8" s="5" t="s">
        <v>21</v>
      </c>
      <c r="C8" s="27">
        <f>71+51</f>
        <v>122</v>
      </c>
      <c r="D8" s="27">
        <f>148+58</f>
        <v>206</v>
      </c>
      <c r="E8" s="28">
        <f>SUM(C8:D8)</f>
        <v>328</v>
      </c>
      <c r="F8" s="7">
        <f>E8/L8</f>
        <v>0.10885456049558924</v>
      </c>
      <c r="G8" s="35">
        <v>1872</v>
      </c>
      <c r="H8" s="35">
        <v>1964</v>
      </c>
      <c r="I8" s="36">
        <f>SUM(G8:H8)</f>
        <v>3836</v>
      </c>
      <c r="J8" s="37">
        <f>I8/L8</f>
        <v>1.2730673599423179</v>
      </c>
      <c r="K8" s="11"/>
      <c r="L8" s="10">
        <v>3013.1948400387919</v>
      </c>
    </row>
    <row r="9" spans="1:12" ht="14.25">
      <c r="A9" s="4" t="s">
        <v>22</v>
      </c>
      <c r="B9" s="5" t="s">
        <v>16</v>
      </c>
      <c r="C9" s="28">
        <f>SUM(C6:C8)</f>
        <v>336</v>
      </c>
      <c r="D9" s="28">
        <f>SUM(D6:D8)</f>
        <v>412</v>
      </c>
      <c r="E9" s="28">
        <f>SUM(E6:E8)</f>
        <v>748</v>
      </c>
      <c r="F9" s="7">
        <f>E9/K9</f>
        <v>0.14185228440888611</v>
      </c>
      <c r="G9" s="36">
        <f>SUM(G6:G8)</f>
        <v>3895</v>
      </c>
      <c r="H9" s="36">
        <f>SUM(H6:H8)</f>
        <v>3915</v>
      </c>
      <c r="I9" s="36">
        <f>SUM(I6:I8)</f>
        <v>7810</v>
      </c>
      <c r="J9" s="37">
        <f>I9/K9</f>
        <v>1.4811047342692523</v>
      </c>
      <c r="K9" s="6">
        <v>5273.0909700678931</v>
      </c>
      <c r="L9" s="6">
        <v>13559.376780174578</v>
      </c>
    </row>
    <row r="10" spans="1:12" ht="14.25">
      <c r="A10" s="4" t="s">
        <v>14</v>
      </c>
      <c r="B10" s="5" t="s">
        <v>23</v>
      </c>
      <c r="C10" s="11"/>
      <c r="D10" s="11"/>
      <c r="E10" s="11"/>
      <c r="F10" s="13"/>
      <c r="G10" s="35"/>
      <c r="H10" s="35"/>
      <c r="I10" s="35"/>
      <c r="J10" s="37"/>
      <c r="K10" s="11"/>
      <c r="L10" s="11"/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3.15">
      <c r="A13" s="15" t="s">
        <v>49</v>
      </c>
    </row>
    <row r="16" spans="1:12" ht="63.75">
      <c r="A16" s="25" t="s">
        <v>51</v>
      </c>
      <c r="B16" s="20" t="s">
        <v>17</v>
      </c>
      <c r="C16" s="20" t="s">
        <v>26</v>
      </c>
      <c r="D16" s="20" t="s">
        <v>27</v>
      </c>
      <c r="E16" s="21" t="s">
        <v>30</v>
      </c>
      <c r="F16" s="20" t="s">
        <v>27</v>
      </c>
      <c r="G16" s="21" t="s">
        <v>31</v>
      </c>
      <c r="H16" s="20" t="s">
        <v>27</v>
      </c>
      <c r="I16" s="20" t="s">
        <v>28</v>
      </c>
      <c r="J16" s="20" t="s">
        <v>29</v>
      </c>
      <c r="K16" s="21" t="s">
        <v>44</v>
      </c>
      <c r="L16" s="21" t="s">
        <v>46</v>
      </c>
    </row>
    <row r="17" spans="1:12" ht="14.25">
      <c r="A17" s="16" t="s">
        <v>37</v>
      </c>
      <c r="B17" s="16">
        <v>33</v>
      </c>
      <c r="C17" s="17">
        <v>341.98188499999998</v>
      </c>
      <c r="D17" s="19">
        <f>C17/794</f>
        <v>0.43070766372795966</v>
      </c>
      <c r="E17" s="17">
        <v>89.956704000000002</v>
      </c>
      <c r="F17" s="19">
        <f>E17/207</f>
        <v>0.43457344927536234</v>
      </c>
      <c r="G17" s="17">
        <v>297.91171100000003</v>
      </c>
      <c r="H17" s="19">
        <f>G17/588</f>
        <v>0.50665256972789119</v>
      </c>
      <c r="I17" s="17">
        <f t="shared" ref="I17:I25" si="0">C17+E17+G17</f>
        <v>729.85030000000006</v>
      </c>
      <c r="J17" s="19">
        <f>I17/1588</f>
        <v>0.45960346347607056</v>
      </c>
      <c r="K17" s="17">
        <v>35.579759000000003</v>
      </c>
      <c r="L17" s="19">
        <f t="shared" ref="L17:L25" si="1">K17/I17</f>
        <v>4.8749392854945735E-2</v>
      </c>
    </row>
    <row r="18" spans="1:12" ht="14.25">
      <c r="A18" s="16" t="s">
        <v>13</v>
      </c>
      <c r="B18" s="16">
        <v>10</v>
      </c>
      <c r="C18" s="17">
        <v>80.263526999999996</v>
      </c>
      <c r="D18" s="18"/>
      <c r="E18" s="17">
        <v>47.138897</v>
      </c>
      <c r="F18" s="18"/>
      <c r="G18" s="17">
        <v>42.938904000000001</v>
      </c>
      <c r="H18" s="18"/>
      <c r="I18" s="17">
        <f t="shared" si="0"/>
        <v>170.341328</v>
      </c>
      <c r="J18" s="18"/>
      <c r="K18" s="17">
        <v>7.8503930000000004</v>
      </c>
      <c r="L18" s="19">
        <f t="shared" si="1"/>
        <v>4.6086249838324614E-2</v>
      </c>
    </row>
    <row r="19" spans="1:12" ht="14.25">
      <c r="A19" s="16" t="s">
        <v>18</v>
      </c>
      <c r="B19" s="16">
        <v>3</v>
      </c>
      <c r="C19" s="17">
        <v>11.316057000000001</v>
      </c>
      <c r="D19" s="18"/>
      <c r="E19" s="17">
        <v>12.760661000000001</v>
      </c>
      <c r="F19" s="18"/>
      <c r="G19" s="17">
        <v>0</v>
      </c>
      <c r="H19" s="18"/>
      <c r="I19" s="17">
        <f t="shared" si="0"/>
        <v>24.076718</v>
      </c>
      <c r="J19" s="18"/>
      <c r="K19" s="17">
        <v>1.6369849999999999</v>
      </c>
      <c r="L19" s="19">
        <f t="shared" si="1"/>
        <v>6.7990371445144637E-2</v>
      </c>
    </row>
    <row r="20" spans="1:12" ht="14.25">
      <c r="A20" s="16" t="s">
        <v>33</v>
      </c>
      <c r="B20" s="16">
        <v>13</v>
      </c>
      <c r="C20" s="17">
        <f>SUM(C18:C19)</f>
        <v>91.579583999999997</v>
      </c>
      <c r="D20" s="19">
        <f>C20/245</f>
        <v>0.37379422040816324</v>
      </c>
      <c r="E20" s="17">
        <f>SUM(E18:E19)</f>
        <v>59.899557999999999</v>
      </c>
      <c r="F20" s="19">
        <f>E20/126</f>
        <v>0.47539331746031743</v>
      </c>
      <c r="G20" s="17">
        <f>SUM(G18:G19)</f>
        <v>42.938904000000001</v>
      </c>
      <c r="H20" s="19">
        <f>G20/119</f>
        <v>0.36083112605042017</v>
      </c>
      <c r="I20" s="17">
        <f t="shared" si="0"/>
        <v>194.418046</v>
      </c>
      <c r="J20" s="19">
        <f>I20/490</f>
        <v>0.39677152244897962</v>
      </c>
      <c r="K20" s="17">
        <v>9.4873790000000007</v>
      </c>
      <c r="L20" s="19">
        <f t="shared" si="1"/>
        <v>4.8798859957681094E-2</v>
      </c>
    </row>
    <row r="21" spans="1:12" ht="14.25">
      <c r="A21" s="16" t="s">
        <v>19</v>
      </c>
      <c r="B21" s="16">
        <v>8</v>
      </c>
      <c r="C21" s="17">
        <v>96.290346999999997</v>
      </c>
      <c r="D21" s="18"/>
      <c r="E21" s="17">
        <v>4.1355969999999997</v>
      </c>
      <c r="F21" s="18"/>
      <c r="G21" s="17">
        <v>105.32706</v>
      </c>
      <c r="H21" s="18"/>
      <c r="I21" s="17">
        <f t="shared" si="0"/>
        <v>205.753004</v>
      </c>
      <c r="J21" s="18"/>
      <c r="K21" s="17">
        <v>17.911586</v>
      </c>
      <c r="L21" s="19">
        <f t="shared" si="1"/>
        <v>8.705382498327946E-2</v>
      </c>
    </row>
    <row r="22" spans="1:12" ht="14.25">
      <c r="A22" s="16" t="s">
        <v>20</v>
      </c>
      <c r="B22" s="16">
        <v>4</v>
      </c>
      <c r="C22" s="17">
        <v>51.944299999999998</v>
      </c>
      <c r="D22" s="18"/>
      <c r="E22" s="17">
        <v>0</v>
      </c>
      <c r="F22" s="18"/>
      <c r="G22" s="17">
        <v>58.928379</v>
      </c>
      <c r="H22" s="18"/>
      <c r="I22" s="17">
        <f t="shared" si="0"/>
        <v>110.87267900000001</v>
      </c>
      <c r="J22" s="18"/>
      <c r="K22" s="17">
        <f>753374/1000000</f>
        <v>0.75337399999999999</v>
      </c>
      <c r="L22" s="19">
        <f t="shared" si="1"/>
        <v>6.7949472024573338E-3</v>
      </c>
    </row>
    <row r="23" spans="1:12" ht="14.25">
      <c r="A23" s="16" t="s">
        <v>34</v>
      </c>
      <c r="B23" s="16">
        <v>12</v>
      </c>
      <c r="C23" s="17">
        <f>SUM(C21:C22)</f>
        <v>148.234647</v>
      </c>
      <c r="D23" s="19">
        <f>'[1]Total ram'!$K$25</f>
        <v>0.38543993109685909</v>
      </c>
      <c r="E23" s="17">
        <f>SUM(E21:E22)</f>
        <v>4.1355969999999997</v>
      </c>
      <c r="F23" s="18"/>
      <c r="G23" s="17">
        <f>SUM(G21:G22)</f>
        <v>164.255439</v>
      </c>
      <c r="H23" s="18"/>
      <c r="I23" s="17">
        <f t="shared" si="0"/>
        <v>316.62568299999998</v>
      </c>
      <c r="J23" s="18"/>
      <c r="K23" s="17">
        <f>18664960/1000000</f>
        <v>18.664960000000001</v>
      </c>
      <c r="L23" s="19">
        <f t="shared" si="1"/>
        <v>5.8949608329782903E-2</v>
      </c>
    </row>
    <row r="24" spans="1:12" ht="14.25">
      <c r="A24" s="16" t="s">
        <v>21</v>
      </c>
      <c r="B24" s="16">
        <v>8</v>
      </c>
      <c r="C24" s="17">
        <v>102.167654</v>
      </c>
      <c r="D24" s="19">
        <v>0.62</v>
      </c>
      <c r="E24" s="17">
        <v>25.92155</v>
      </c>
      <c r="F24" s="18"/>
      <c r="G24" s="17">
        <v>90.717367999999993</v>
      </c>
      <c r="H24" s="18"/>
      <c r="I24" s="17">
        <f t="shared" si="0"/>
        <v>218.80657199999999</v>
      </c>
      <c r="J24" s="18"/>
      <c r="K24" s="17">
        <v>7.4274209999999998</v>
      </c>
      <c r="L24" s="19">
        <f t="shared" si="1"/>
        <v>3.3945145852383264E-2</v>
      </c>
    </row>
    <row r="25" spans="1:12" ht="14.25">
      <c r="A25" s="16" t="s">
        <v>35</v>
      </c>
      <c r="B25" s="16">
        <v>20</v>
      </c>
      <c r="C25" s="17">
        <f>SUM(C23:C24)</f>
        <v>250.40230099999999</v>
      </c>
      <c r="D25" s="19">
        <f>C25/549</f>
        <v>0.45610619489981785</v>
      </c>
      <c r="E25" s="17">
        <f>SUM(E23:E24)</f>
        <v>30.057147000000001</v>
      </c>
      <c r="F25" s="19">
        <f>E25/81</f>
        <v>0.37107588888888887</v>
      </c>
      <c r="G25" s="17">
        <f>SUM(G23:G24)</f>
        <v>254.97280699999999</v>
      </c>
      <c r="H25" s="19">
        <f>G25/469</f>
        <v>0.54365204051172711</v>
      </c>
      <c r="I25" s="17">
        <f t="shared" si="0"/>
        <v>535.43225499999994</v>
      </c>
      <c r="J25" s="19">
        <f>I25/1099</f>
        <v>0.48719950409463142</v>
      </c>
      <c r="K25" s="17">
        <v>26.092379999999999</v>
      </c>
      <c r="L25" s="19">
        <f t="shared" si="1"/>
        <v>4.8731431019223899E-2</v>
      </c>
    </row>
    <row r="26" spans="1:12" ht="13.15">
      <c r="A26" s="15" t="s">
        <v>45</v>
      </c>
    </row>
    <row r="27" spans="1:12" ht="39.4">
      <c r="A27" s="23" t="s">
        <v>47</v>
      </c>
      <c r="B27" s="24">
        <f>E24/(E23+E24)</f>
        <v>0.86240886402159189</v>
      </c>
      <c r="C27" s="22"/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&amp;L&amp;D&amp;C&amp;A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A11" sqref="A11:A12"/>
    </sheetView>
  </sheetViews>
  <sheetFormatPr defaultRowHeight="12.75"/>
  <cols>
    <col min="1" max="1" width="28" customWidth="1"/>
    <col min="2" max="2" width="6.86328125" customWidth="1"/>
    <col min="3" max="4" width="9.265625" customWidth="1"/>
    <col min="5" max="5" width="10" customWidth="1"/>
    <col min="6" max="6" width="9.265625" customWidth="1"/>
    <col min="7" max="7" width="12.3984375" customWidth="1"/>
    <col min="8" max="8" width="10.86328125" customWidth="1"/>
    <col min="9" max="12" width="9.265625" customWidth="1"/>
  </cols>
  <sheetData>
    <row r="1" spans="1:12" ht="5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26.25">
      <c r="A2" s="4" t="s">
        <v>12</v>
      </c>
      <c r="B2" s="5" t="s">
        <v>13</v>
      </c>
      <c r="C2" s="6">
        <v>1546</v>
      </c>
      <c r="D2" s="6">
        <v>1705</v>
      </c>
      <c r="E2" s="6">
        <v>3251</v>
      </c>
      <c r="F2" s="7">
        <v>1.7110526315789479E-2</v>
      </c>
      <c r="G2" s="8"/>
      <c r="H2" s="8"/>
      <c r="I2" s="8"/>
      <c r="J2" s="8"/>
      <c r="K2" s="9"/>
      <c r="L2" s="10">
        <v>189999.99999999994</v>
      </c>
    </row>
    <row r="3" spans="1:12" ht="14.25">
      <c r="A3" s="4" t="s">
        <v>14</v>
      </c>
      <c r="B3" s="5" t="s">
        <v>13</v>
      </c>
      <c r="C3" s="6">
        <v>0</v>
      </c>
      <c r="D3" s="6">
        <v>0</v>
      </c>
      <c r="E3" s="6">
        <v>0</v>
      </c>
      <c r="F3" s="7">
        <v>0</v>
      </c>
      <c r="G3" s="8"/>
      <c r="H3" s="8"/>
      <c r="I3" s="8"/>
      <c r="J3" s="8"/>
      <c r="K3" s="11"/>
      <c r="L3" s="10">
        <v>5000</v>
      </c>
    </row>
    <row r="4" spans="1:12" ht="14.25">
      <c r="A4" s="4" t="s">
        <v>15</v>
      </c>
      <c r="B4" s="5" t="s">
        <v>16</v>
      </c>
      <c r="C4" s="6">
        <v>1546</v>
      </c>
      <c r="D4" s="6">
        <v>1705</v>
      </c>
      <c r="E4" s="6">
        <v>3251</v>
      </c>
      <c r="F4" s="7">
        <v>4.0637500000000021E-2</v>
      </c>
      <c r="G4" s="6">
        <v>48471</v>
      </c>
      <c r="H4" s="6">
        <v>23347</v>
      </c>
      <c r="I4" s="6">
        <v>71818</v>
      </c>
      <c r="J4" s="7">
        <v>0.89772500000000044</v>
      </c>
      <c r="K4" s="12">
        <v>79999.999999999956</v>
      </c>
      <c r="L4" s="6">
        <v>195000</v>
      </c>
    </row>
    <row r="5" spans="1:12" ht="14.25">
      <c r="A5" s="4" t="s">
        <v>17</v>
      </c>
      <c r="B5" s="5" t="s">
        <v>18</v>
      </c>
      <c r="C5" s="11"/>
      <c r="D5" s="11"/>
      <c r="E5" s="6">
        <v>17</v>
      </c>
      <c r="F5" s="7">
        <v>0.34</v>
      </c>
      <c r="G5" s="8"/>
      <c r="H5" s="8"/>
      <c r="I5" s="8"/>
      <c r="J5" s="13"/>
      <c r="K5" s="9"/>
      <c r="L5" s="12">
        <v>50</v>
      </c>
    </row>
    <row r="6" spans="1:12" ht="14.25">
      <c r="A6" s="4" t="s">
        <v>14</v>
      </c>
      <c r="B6" s="5" t="s">
        <v>19</v>
      </c>
      <c r="C6" s="6">
        <v>608</v>
      </c>
      <c r="D6" s="6">
        <v>770</v>
      </c>
      <c r="E6" s="6">
        <v>1378</v>
      </c>
      <c r="F6" s="7">
        <v>4.5933333333333382E-2</v>
      </c>
      <c r="G6" s="6">
        <v>8461</v>
      </c>
      <c r="H6" s="6">
        <v>8624</v>
      </c>
      <c r="I6" s="6">
        <v>17085</v>
      </c>
      <c r="J6" s="7">
        <v>0.56950000000000067</v>
      </c>
      <c r="K6" s="9"/>
      <c r="L6" s="10">
        <v>29999.999999999967</v>
      </c>
    </row>
    <row r="7" spans="1:12" ht="14.25">
      <c r="A7" s="4" t="s">
        <v>14</v>
      </c>
      <c r="B7" s="5" t="s">
        <v>20</v>
      </c>
      <c r="C7" s="6">
        <v>1138</v>
      </c>
      <c r="D7" s="6">
        <v>2146</v>
      </c>
      <c r="E7" s="6">
        <v>3284</v>
      </c>
      <c r="F7" s="7">
        <v>8.210000000000009E-2</v>
      </c>
      <c r="G7" s="6">
        <v>9416</v>
      </c>
      <c r="H7" s="6">
        <v>11371</v>
      </c>
      <c r="I7" s="6">
        <v>20787</v>
      </c>
      <c r="J7" s="7">
        <v>0.51967500000000055</v>
      </c>
      <c r="K7" s="9"/>
      <c r="L7" s="10">
        <v>39999.999999999956</v>
      </c>
    </row>
    <row r="8" spans="1:12" ht="14.25">
      <c r="A8" s="4" t="s">
        <v>14</v>
      </c>
      <c r="B8" s="5" t="s">
        <v>21</v>
      </c>
      <c r="C8" s="6">
        <v>495</v>
      </c>
      <c r="D8" s="6">
        <v>498</v>
      </c>
      <c r="E8" s="6">
        <v>993</v>
      </c>
      <c r="F8" s="7">
        <v>4.9650000000000055E-2</v>
      </c>
      <c r="G8" s="6">
        <v>6778</v>
      </c>
      <c r="H8" s="6">
        <v>5834</v>
      </c>
      <c r="I8" s="6">
        <v>12612</v>
      </c>
      <c r="J8" s="7">
        <v>0.63060000000000072</v>
      </c>
      <c r="K8" s="11"/>
      <c r="L8" s="10">
        <v>19999.999999999978</v>
      </c>
    </row>
    <row r="9" spans="1:12" ht="14.25">
      <c r="A9" s="4" t="s">
        <v>22</v>
      </c>
      <c r="B9" s="5" t="s">
        <v>16</v>
      </c>
      <c r="C9" s="6">
        <v>2241</v>
      </c>
      <c r="D9" s="6">
        <v>3414</v>
      </c>
      <c r="E9" s="6">
        <v>5655</v>
      </c>
      <c r="F9" s="7">
        <v>0.16157142857142853</v>
      </c>
      <c r="G9" s="6">
        <v>24655</v>
      </c>
      <c r="H9" s="6">
        <v>25829</v>
      </c>
      <c r="I9" s="6">
        <v>50484</v>
      </c>
      <c r="J9" s="7">
        <v>1.4423999999999997</v>
      </c>
      <c r="K9" s="6">
        <v>35000.000000000007</v>
      </c>
      <c r="L9" s="6">
        <v>90000</v>
      </c>
    </row>
    <row r="10" spans="1:12" ht="14.25">
      <c r="A10" s="4" t="s">
        <v>14</v>
      </c>
      <c r="B10" s="5" t="s">
        <v>23</v>
      </c>
      <c r="C10" s="6">
        <v>3962</v>
      </c>
      <c r="D10" s="6">
        <v>5944</v>
      </c>
      <c r="E10" s="6">
        <v>9906</v>
      </c>
      <c r="F10" s="7">
        <v>0.49530000000000002</v>
      </c>
      <c r="G10" s="10">
        <v>13033</v>
      </c>
      <c r="H10" s="10">
        <v>14075</v>
      </c>
      <c r="I10" s="10">
        <v>27108</v>
      </c>
      <c r="J10" s="7">
        <v>1.3553999999999999</v>
      </c>
      <c r="K10" s="10">
        <v>20000</v>
      </c>
      <c r="L10" s="10">
        <v>20000</v>
      </c>
    </row>
    <row r="11" spans="1:12" ht="13.15">
      <c r="A11" s="1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14"/>
    </row>
    <row r="12" spans="1:12" ht="13.15">
      <c r="A12" s="15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&amp;L&amp;D&amp;C&amp;A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11</vt:i4>
      </vt:variant>
      <vt:variant>
        <vt:lpstr>Namngivna områden</vt:lpstr>
      </vt:variant>
      <vt:variant>
        <vt:i4>10</vt:i4>
      </vt:variant>
    </vt:vector>
  </HeadingPairs>
  <TitlesOfParts>
    <vt:vector size="21" baseType="lpstr">
      <vt:lpstr>Programmet</vt:lpstr>
      <vt:lpstr>ESF Nationellt</vt:lpstr>
      <vt:lpstr>Mellersta Norrland</vt:lpstr>
      <vt:lpstr>Norra Mellansverige</vt:lpstr>
      <vt:lpstr>Småland och Öarna</vt:lpstr>
      <vt:lpstr>Stockholm</vt:lpstr>
      <vt:lpstr>Sydsverige</vt:lpstr>
      <vt:lpstr>Västsverige</vt:lpstr>
      <vt:lpstr>Blad7</vt:lpstr>
      <vt:lpstr>Östra Mellansverige</vt:lpstr>
      <vt:lpstr>Övre Norrland</vt:lpstr>
      <vt:lpstr>'ESF Nationellt'!Utskriftsområde</vt:lpstr>
      <vt:lpstr>'Mellersta Norrland'!Utskriftsområde</vt:lpstr>
      <vt:lpstr>'Norra Mellansverige'!Utskriftsområde</vt:lpstr>
      <vt:lpstr>Programmet!Utskriftsområde</vt:lpstr>
      <vt:lpstr>'Småland och Öarna'!Utskriftsområde</vt:lpstr>
      <vt:lpstr>Stockholm!Utskriftsområde</vt:lpstr>
      <vt:lpstr>Sydsverige!Utskriftsområde</vt:lpstr>
      <vt:lpstr>Västsverige!Utskriftsområde</vt:lpstr>
      <vt:lpstr>'Östra Mellansverige'!Utskriftsområde</vt:lpstr>
      <vt:lpstr>'Övre Norrland'!Utskriftsområde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Lewén Aurora</dc:creator>
  <cp:lastModifiedBy>Farah Kafia</cp:lastModifiedBy>
  <cp:lastPrinted>2016-11-11T14:24:33Z</cp:lastPrinted>
  <dcterms:created xsi:type="dcterms:W3CDTF">2006-05-09T12:40:54Z</dcterms:created>
  <dcterms:modified xsi:type="dcterms:W3CDTF">2016-11-11T14:24:35Z</dcterms:modified>
</cp:coreProperties>
</file>